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tables/table7.xml" ContentType="application/vnd.openxmlformats-officedocument.spreadsheetml.table+xml"/>
  <Override PartName="/xl/pivotTables/pivotTable1.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mc:AlternateContent xmlns:mc="http://schemas.openxmlformats.org/markup-compatibility/2006">
    <mc:Choice Requires="x15">
      <x15ac:absPath xmlns:x15ac="http://schemas.microsoft.com/office/spreadsheetml/2010/11/ac" url="https://unitednations-my.sharepoint.com/personal/jorge_ortigosa_un_org/Documents/A6_VCM_Pipeline/12. Data/Article 6/08_August/"/>
    </mc:Choice>
  </mc:AlternateContent>
  <xr:revisionPtr revIDLastSave="27" documentId="8_{D321EB8B-AE73-4BF5-93EA-C3C4EB2D104A}" xr6:coauthVersionLast="47" xr6:coauthVersionMax="47" xr10:uidLastSave="{BDEF7177-AF45-466A-9C00-87D10DA1DFCD}"/>
  <bookViews>
    <workbookView xWindow="-110" yWindow="-110" windowWidth="19420" windowHeight="10420" tabRatio="890" xr2:uid="{00000000-000D-0000-FFFF-FFFF00000000}"/>
  </bookViews>
  <sheets>
    <sheet name="Pilot_Projects" sheetId="47" r:id="rId1"/>
    <sheet name="JCM" sheetId="53" r:id="rId2"/>
    <sheet name="Art. 6.2 Bilateral Agreements" sheetId="54" r:id="rId3"/>
    <sheet name="Virtual pilots" sheetId="55" r:id="rId4"/>
    <sheet name="Country-Region_Mapping" sheetId="56" state="hidden" r:id="rId5"/>
    <sheet name="DNAs" sheetId="48" r:id="rId6"/>
    <sheet name="Capacity building activities" sheetId="50" r:id="rId7"/>
    <sheet name="Analysis" sheetId="51" r:id="rId8"/>
  </sheets>
  <definedNames>
    <definedName name="_xlnm._FilterDatabase" localSheetId="7" hidden="1">Analysis!$A$69:$B$97</definedName>
    <definedName name="_xlnm._FilterDatabase" localSheetId="2" hidden="1">'Art. 6.2 Bilateral Agreements'!$A$2:$G$54</definedName>
    <definedName name="_xlnm._FilterDatabase" localSheetId="6" hidden="1">'Capacity building activities'!$A$1:$F$1</definedName>
    <definedName name="_xlnm._FilterDatabase" localSheetId="4" hidden="1">'Country-Region_Mapping'!$A$1:$E$115</definedName>
    <definedName name="_xlnm._FilterDatabase" localSheetId="1" hidden="1">JCM!$A$4:$Q$113</definedName>
    <definedName name="_xlnm._FilterDatabase" localSheetId="0" hidden="1">Pilot_Projects!$A$4:$N$4</definedName>
    <definedName name="AboveAliveAM">#REF!</definedName>
    <definedName name="AboveAM">#REF!</definedName>
    <definedName name="AboveBuyer">#REF!</definedName>
    <definedName name="AboveBuyer2">#REF!</definedName>
    <definedName name="AboveDOE">#REF!</definedName>
    <definedName name="AboveHost">#REF!</definedName>
    <definedName name="AboveHostssc">#REF!</definedName>
    <definedName name="AboveInvest">#REF!</definedName>
    <definedName name="AboveInvestHost">#REF!</definedName>
    <definedName name="AboveLDC">#REF!</definedName>
    <definedName name="AboveMethodsUsed">#REF!</definedName>
    <definedName name="AbovePDDcon">#REF!</definedName>
    <definedName name="AboveRes">#REF!</definedName>
    <definedName name="AboveType">#REF!</definedName>
    <definedName name="AboveType2">#REF!</definedName>
    <definedName name="AboveType2ssc">#REF!</definedName>
    <definedName name="BelowAliveAM">#REF!</definedName>
    <definedName name="BelowAM">#REF!</definedName>
    <definedName name="BelowBuyer">#REF!</definedName>
    <definedName name="BelowBuyer2">#REF!</definedName>
    <definedName name="BelowDOE">#REF!</definedName>
    <definedName name="BelowHost">#REF!</definedName>
    <definedName name="BelowLDC">#REF!</definedName>
    <definedName name="BelowPDDcon">#REF!</definedName>
    <definedName name="BelowRes">#REF!</definedName>
    <definedName name="BelowType">#REF!</definedName>
    <definedName name="Buyer" localSheetId="6">'Capacity building activities'!#REF!</definedName>
    <definedName name="Buyer" localSheetId="0">Pilot_Projects!#REF!</definedName>
    <definedName name="CERsExpected">#REF!</definedName>
    <definedName name="CERsIssued" localSheetId="6">'Capacity building activities'!#REF!</definedName>
    <definedName name="CERsIssued" localSheetId="0">Pilot_Projects!#REF!</definedName>
    <definedName name="CERsIssued_CP1" localSheetId="6">'Capacity building activities'!#REF!</definedName>
    <definedName name="CERsIssued_CP1">Pilot_Projects!#REF!</definedName>
    <definedName name="CERsIssued_CP2" localSheetId="6">'Capacity building activities'!#REF!</definedName>
    <definedName name="CERsIssued_CP2">Pilot_Projects!#REF!</definedName>
    <definedName name="CERstoend">#REF!</definedName>
    <definedName name="Countries">Country_Mapping[Host country]</definedName>
    <definedName name="Creditstart" localSheetId="6">'Capacity building activities'!#REF!</definedName>
    <definedName name="Creditstart" localSheetId="0">Pilot_Projects!#REF!</definedName>
    <definedName name="DOE" localSheetId="6">'Capacity building activities'!#REF!</definedName>
    <definedName name="DOE" localSheetId="0">Pilot_Projects!#REF!</definedName>
    <definedName name="DOE_2" localSheetId="6">'Capacity building activities'!#REF!</definedName>
    <definedName name="DOE_2" localSheetId="0">Pilot_Projects!#REF!</definedName>
    <definedName name="Firstissuance" localSheetId="6">'Capacity building activities'!#REF!</definedName>
    <definedName name="Firstissuance" localSheetId="0">Pilot_Projects!#REF!</definedName>
    <definedName name="Host" localSheetId="6">'Capacity building activities'!$B$3</definedName>
    <definedName name="Host" localSheetId="0">Pilot_Projects!$C$4</definedName>
    <definedName name="ID" localSheetId="6">'Capacity building activities'!#REF!</definedName>
    <definedName name="ID">Pilot_Projects!$A$4</definedName>
    <definedName name="Inv" localSheetId="6">'Capacity building activities'!#REF!</definedName>
    <definedName name="Inv" localSheetId="0">Pilot_Projects!#REF!</definedName>
    <definedName name="Iss_delay" localSheetId="6">'Capacity building activities'!#REF!</definedName>
    <definedName name="Iss_delay" localSheetId="0">Pilot_Projects!#REF!</definedName>
    <definedName name="ktCO22012" localSheetId="6">'Capacity building activities'!#REF!</definedName>
    <definedName name="ktCO22012" localSheetId="0">Pilot_Projects!#REF!</definedName>
    <definedName name="ktCO22020" localSheetId="6">'Capacity building activities'!#REF!</definedName>
    <definedName name="ktCO22020" localSheetId="0">Pilot_Projects!#REF!</definedName>
    <definedName name="ktCO22030" localSheetId="6">'Capacity building activities'!#REF!</definedName>
    <definedName name="ktCO22030">Pilot_Projects!#REF!</definedName>
    <definedName name="ktCO2peryr" localSheetId="6">'Capacity building activities'!#REF!</definedName>
    <definedName name="ktCO2peryr" localSheetId="0">Pilot_Projects!#REF!</definedName>
    <definedName name="Lastline" localSheetId="6">'Capacity building activities'!#REF!</definedName>
    <definedName name="Lastline" localSheetId="0">Pilot_Projects!#REF!</definedName>
    <definedName name="LoA" localSheetId="6">'Capacity building activities'!#REF!</definedName>
    <definedName name="LoA" localSheetId="0">Pilot_Projects!#REF!</definedName>
    <definedName name="Method" localSheetId="6">'Capacity building activities'!#REF!</definedName>
    <definedName name="Method" localSheetId="0">Pilot_Projects!#REF!</definedName>
    <definedName name="MW" localSheetId="6">'Capacity building activities'!#REF!</definedName>
    <definedName name="MW" localSheetId="0">Pilot_Projects!#REF!</definedName>
    <definedName name="PDDcon" localSheetId="6">'Capacity building activities'!#REF!</definedName>
    <definedName name="PDDcon" localSheetId="0">Pilot_Projects!#REF!</definedName>
    <definedName name="Ref" localSheetId="6">'Capacity building activities'!#REF!</definedName>
    <definedName name="Ref">Pilot_Projects!#REF!</definedName>
    <definedName name="RegDate" localSheetId="6">'Capacity building activities'!#REF!</definedName>
    <definedName name="RegDate" localSheetId="0">Pilot_Projects!#REF!</definedName>
    <definedName name="RegRequest" localSheetId="6">'Capacity building activities'!#REF!</definedName>
    <definedName name="RegRequest" localSheetId="0">Pilot_Projects!#REF!</definedName>
    <definedName name="RevHist" localSheetId="6">'Capacity building activities'!#REF!</definedName>
    <definedName name="RevHist" localSheetId="0">Pilot_Projects!#REF!</definedName>
    <definedName name="SD_projects">#REF!</definedName>
    <definedName name="SD_tool" localSheetId="6">'Capacity building activities'!#REF!</definedName>
    <definedName name="SD_tool">Pilot_Projects!#REF!</definedName>
    <definedName name="secondktCO2peryr" localSheetId="6">'Capacity building activities'!#REF!</definedName>
    <definedName name="secondktCO2peryr">Pilot_Projects!#REF!</definedName>
    <definedName name="Slope" localSheetId="6">'Capacity building activities'!#REF!</definedName>
    <definedName name="Slope" localSheetId="0">Pilot_Projects!#REF!</definedName>
    <definedName name="Startcomment" localSheetId="6">'Capacity building activities'!#REF!</definedName>
    <definedName name="Startcomment" localSheetId="0">Pilot_Projects!#REF!</definedName>
    <definedName name="Startdate4to8week" localSheetId="6">'Capacity building activities'!#REF!</definedName>
    <definedName name="Startdate4to8week" localSheetId="0">Pilot_Projects!#REF!</definedName>
    <definedName name="StatesAndProvinces" localSheetId="6">'Capacity building activities'!#REF!</definedName>
    <definedName name="StatesAndProvinces" localSheetId="0">Pilot_Projects!#REF!</definedName>
    <definedName name="Status" localSheetId="6">'Capacity building activities'!$C$3</definedName>
    <definedName name="Status" localSheetId="0">Pilot_Projects!$J$4</definedName>
    <definedName name="Statusnumber">#REF!</definedName>
    <definedName name="Subtype" localSheetId="6">'Capacity building activities'!#REF!</definedName>
    <definedName name="Subtype" localSheetId="0">Pilot_Projects!$H$4</definedName>
    <definedName name="Success" localSheetId="6">'Capacity building activities'!#REF!</definedName>
    <definedName name="Success" localSheetId="0">Pilot_Projects!#REF!</definedName>
    <definedName name="TableHostsTime">#REF!</definedName>
    <definedName name="TableHostsTimeCER">#REF!</definedName>
    <definedName name="TableHostsTypes">#REF!</definedName>
    <definedName name="TableHostsTypesCER">#REF!</definedName>
    <definedName name="TableMWHostsTypes">#REF!</definedName>
    <definedName name="TableTypesTime">#REF!</definedName>
    <definedName name="TableTypesTimeCER">#REF!</definedName>
    <definedName name="TableTypesTimeCERperyr">#REF!</definedName>
    <definedName name="thirdktCO2peryr" localSheetId="6">'Capacity building activities'!#REF!</definedName>
    <definedName name="thirdktCO2peryr">Pilot_Projects!#REF!</definedName>
    <definedName name="Totalreg">#REF!</definedName>
    <definedName name="Totalssc" localSheetId="6">#REF!</definedName>
    <definedName name="Totalssc" localSheetId="0">#REF!</definedName>
    <definedName name="Totalssc">#REF!</definedName>
    <definedName name="Totalyears">#REF!</definedName>
    <definedName name="Type" localSheetId="6">'Capacity building activities'!#REF!</definedName>
    <definedName name="Type" localSheetId="0">Pilot_Projects!$G$4</definedName>
    <definedName name="Until" localSheetId="6">'Capacity building activities'!#REF!</definedName>
    <definedName name="Until" localSheetId="0">Pilot_Projects!#REF!</definedName>
    <definedName name="Withdrawn_buyer" localSheetId="6">'Capacity building activities'!#REF!</definedName>
    <definedName name="Withdrawn_buyer">Pilot_Projects!#REF!</definedName>
    <definedName name="years" localSheetId="6">'Capacity building activities'!#REF!</definedName>
    <definedName name="years" localSheetId="0">Pilot_Projects!#REF!</definedName>
  </definedNames>
  <calcPr calcId="191029"/>
  <pivotCaches>
    <pivotCache cacheId="0"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1" l="1"/>
  <c r="B70" i="51"/>
  <c r="B71" i="51"/>
  <c r="B72" i="51"/>
  <c r="B73" i="51"/>
  <c r="B74" i="51"/>
  <c r="B75" i="51"/>
  <c r="B76" i="51"/>
  <c r="B77" i="51"/>
  <c r="B78" i="51"/>
  <c r="B79" i="51"/>
  <c r="B80" i="51"/>
  <c r="B81" i="51"/>
  <c r="B82" i="51"/>
  <c r="B83" i="51"/>
  <c r="B84" i="51"/>
  <c r="B85" i="51"/>
  <c r="B86" i="51"/>
  <c r="B87" i="51"/>
  <c r="B88" i="51"/>
  <c r="B89" i="51"/>
  <c r="B90" i="51"/>
  <c r="B91" i="51"/>
  <c r="B92" i="51"/>
  <c r="B93" i="51"/>
  <c r="B94" i="51"/>
  <c r="B95" i="51"/>
  <c r="B96" i="51"/>
  <c r="I6" i="48"/>
  <c r="I7" i="48"/>
  <c r="I8" i="48"/>
  <c r="I9" i="48"/>
  <c r="I10" i="48"/>
  <c r="H6" i="48"/>
  <c r="B115" i="51"/>
  <c r="B116" i="51"/>
  <c r="B117" i="51"/>
  <c r="B118" i="51"/>
  <c r="B114" i="51"/>
  <c r="B97" i="51" l="1"/>
  <c r="C92" i="51" s="1"/>
  <c r="Q120" i="51"/>
  <c r="E6" i="51" s="1"/>
  <c r="Q146" i="51"/>
  <c r="Q147" i="51" s="1"/>
  <c r="Q159" i="51"/>
  <c r="Q160" i="51" s="1"/>
  <c r="Q161" i="51" s="1"/>
  <c r="Q162" i="51" s="1"/>
  <c r="Q163" i="51" s="1"/>
  <c r="E49" i="51" s="1"/>
  <c r="E50" i="51"/>
  <c r="Q165" i="51"/>
  <c r="Q166" i="51" s="1"/>
  <c r="Q167" i="51" s="1"/>
  <c r="Q168" i="51" s="1"/>
  <c r="Q169" i="51" s="1"/>
  <c r="Q170" i="51" s="1"/>
  <c r="Q171" i="51" s="1"/>
  <c r="Q172" i="51" s="1"/>
  <c r="Q173" i="51" s="1"/>
  <c r="Q174" i="51" s="1"/>
  <c r="Q175" i="51" s="1"/>
  <c r="Q176" i="51" s="1"/>
  <c r="E64" i="51" s="1"/>
  <c r="Q118" i="51"/>
  <c r="E4" i="51" s="1"/>
  <c r="C72" i="51" l="1"/>
  <c r="C76" i="51"/>
  <c r="C80" i="51"/>
  <c r="C88" i="51"/>
  <c r="C78" i="51"/>
  <c r="C90" i="51"/>
  <c r="C70" i="51"/>
  <c r="C74" i="51"/>
  <c r="C82" i="51"/>
  <c r="C86" i="51"/>
  <c r="C94" i="51"/>
  <c r="C96" i="51"/>
  <c r="C77" i="51"/>
  <c r="C84" i="51"/>
  <c r="C71" i="51"/>
  <c r="C73" i="51"/>
  <c r="C85" i="51"/>
  <c r="C79" i="51"/>
  <c r="C81" i="51"/>
  <c r="C83" i="51"/>
  <c r="C87" i="51"/>
  <c r="C89" i="51"/>
  <c r="C93" i="51"/>
  <c r="C95" i="51"/>
  <c r="C91" i="51"/>
  <c r="C75" i="51"/>
  <c r="Q121" i="51"/>
  <c r="Q122" i="51" s="1"/>
  <c r="Q123" i="51" s="1"/>
  <c r="Q124" i="51" s="1"/>
  <c r="Q125" i="51" s="1"/>
  <c r="Q126" i="51" s="1"/>
  <c r="Q127" i="51" s="1"/>
  <c r="Q128" i="51" s="1"/>
  <c r="Q129" i="51" s="1"/>
  <c r="Q130" i="51" s="1"/>
  <c r="Q131" i="51" s="1"/>
  <c r="Q132" i="51" s="1"/>
  <c r="Q133" i="51" s="1"/>
  <c r="Q134" i="51" s="1"/>
  <c r="Q135" i="51" s="1"/>
  <c r="Q136" i="51" s="1"/>
  <c r="Q137" i="51" s="1"/>
  <c r="Q138" i="51" s="1"/>
  <c r="Q139" i="51" s="1"/>
  <c r="Q140" i="51" s="1"/>
  <c r="Q141" i="51" s="1"/>
  <c r="Q142" i="51" s="1"/>
  <c r="Q143" i="51" s="1"/>
  <c r="Q144" i="51" s="1"/>
  <c r="Q145" i="51" s="1"/>
  <c r="E31" i="51" s="1"/>
  <c r="Q119" i="51"/>
  <c r="E5" i="51" s="1"/>
  <c r="Q164" i="51"/>
  <c r="E52" i="51" s="1"/>
  <c r="Q148" i="51"/>
  <c r="E33" i="51"/>
  <c r="E60" i="51"/>
  <c r="E58" i="51"/>
  <c r="E57" i="51"/>
  <c r="E56" i="51"/>
  <c r="E48" i="51"/>
  <c r="E32" i="51"/>
  <c r="E24" i="51"/>
  <c r="E8" i="51"/>
  <c r="E59" i="51"/>
  <c r="E26" i="51"/>
  <c r="E18" i="51"/>
  <c r="E63" i="51"/>
  <c r="E55" i="51"/>
  <c r="E47" i="51"/>
  <c r="E7" i="51"/>
  <c r="E25" i="51"/>
  <c r="E62" i="51"/>
  <c r="E54" i="51"/>
  <c r="E46" i="51"/>
  <c r="E30" i="51"/>
  <c r="E51" i="51"/>
  <c r="E19" i="51"/>
  <c r="E61" i="51"/>
  <c r="E53" i="51"/>
  <c r="E45" i="51"/>
  <c r="E29" i="51"/>
  <c r="D59" i="48"/>
  <c r="D60" i="48"/>
  <c r="D6" i="47"/>
  <c r="E6" i="47"/>
  <c r="D7" i="47"/>
  <c r="E7" i="47"/>
  <c r="D8" i="47"/>
  <c r="E8" i="47"/>
  <c r="D9" i="47"/>
  <c r="E9" i="47"/>
  <c r="D10" i="47"/>
  <c r="E10" i="47"/>
  <c r="D11" i="47"/>
  <c r="E11" i="47"/>
  <c r="D12" i="47"/>
  <c r="E12" i="47"/>
  <c r="D13" i="47"/>
  <c r="E13" i="47"/>
  <c r="D14" i="47"/>
  <c r="E14" i="47"/>
  <c r="D15" i="47"/>
  <c r="E15" i="47"/>
  <c r="D16" i="47"/>
  <c r="E16" i="47"/>
  <c r="D17" i="47"/>
  <c r="E17" i="47"/>
  <c r="D18" i="47"/>
  <c r="E18" i="47"/>
  <c r="D19" i="47"/>
  <c r="E19" i="47"/>
  <c r="D20" i="47"/>
  <c r="E20" i="47"/>
  <c r="D21" i="47"/>
  <c r="E21" i="47"/>
  <c r="D22" i="47"/>
  <c r="E22" i="47"/>
  <c r="D23" i="47"/>
  <c r="E23" i="47"/>
  <c r="D24" i="47"/>
  <c r="E24" i="47"/>
  <c r="D25" i="47"/>
  <c r="E25" i="47"/>
  <c r="D26" i="47"/>
  <c r="E26" i="47"/>
  <c r="D27" i="47"/>
  <c r="E27" i="47"/>
  <c r="E5" i="47"/>
  <c r="D5" i="47"/>
  <c r="E5" i="53"/>
  <c r="E6" i="53"/>
  <c r="E7" i="53"/>
  <c r="E8" i="53"/>
  <c r="E9" i="53"/>
  <c r="E10" i="53"/>
  <c r="E11" i="53"/>
  <c r="E12" i="53"/>
  <c r="E13" i="53"/>
  <c r="E14" i="53"/>
  <c r="E15" i="53"/>
  <c r="E16" i="53"/>
  <c r="E17" i="53"/>
  <c r="E18" i="53"/>
  <c r="E19" i="53"/>
  <c r="E20" i="53"/>
  <c r="E21" i="53"/>
  <c r="E22" i="53"/>
  <c r="E23" i="53"/>
  <c r="E24" i="53"/>
  <c r="E25" i="53"/>
  <c r="E26" i="53"/>
  <c r="E27" i="53"/>
  <c r="E28" i="53"/>
  <c r="E29" i="53"/>
  <c r="E30" i="53"/>
  <c r="E31" i="53"/>
  <c r="E32" i="53"/>
  <c r="E33" i="53"/>
  <c r="E34" i="53"/>
  <c r="E35" i="53"/>
  <c r="E36" i="53"/>
  <c r="E37" i="53"/>
  <c r="E38" i="53"/>
  <c r="E39" i="53"/>
  <c r="E40" i="53"/>
  <c r="E41" i="53"/>
  <c r="E42" i="53"/>
  <c r="E43" i="53"/>
  <c r="E44" i="53"/>
  <c r="E45" i="53"/>
  <c r="E46" i="53"/>
  <c r="E47" i="53"/>
  <c r="E48" i="53"/>
  <c r="E49" i="53"/>
  <c r="E50" i="53"/>
  <c r="E51" i="53"/>
  <c r="E52" i="53"/>
  <c r="E53" i="53"/>
  <c r="E54" i="53"/>
  <c r="E55" i="53"/>
  <c r="E56" i="53"/>
  <c r="E57" i="53"/>
  <c r="E58" i="53"/>
  <c r="E59" i="53"/>
  <c r="E60" i="53"/>
  <c r="E61" i="53"/>
  <c r="E62" i="53"/>
  <c r="E63" i="53"/>
  <c r="E64" i="53"/>
  <c r="E65" i="53"/>
  <c r="E66" i="53"/>
  <c r="E67" i="53"/>
  <c r="E68" i="53"/>
  <c r="E69" i="53"/>
  <c r="E70" i="53"/>
  <c r="E71" i="53"/>
  <c r="E72" i="53"/>
  <c r="E73" i="53"/>
  <c r="E74" i="53"/>
  <c r="E75" i="53"/>
  <c r="E76" i="53"/>
  <c r="E77" i="53"/>
  <c r="E78" i="53"/>
  <c r="E79" i="53"/>
  <c r="E80" i="53"/>
  <c r="E81" i="53"/>
  <c r="E82" i="53"/>
  <c r="E83" i="53"/>
  <c r="E84" i="53"/>
  <c r="E85" i="53"/>
  <c r="E86" i="53"/>
  <c r="E87" i="53"/>
  <c r="E88" i="53"/>
  <c r="E89" i="53"/>
  <c r="E90" i="53"/>
  <c r="E91" i="53"/>
  <c r="E92" i="53"/>
  <c r="E93" i="53"/>
  <c r="E94" i="53"/>
  <c r="E95" i="53"/>
  <c r="E96" i="53"/>
  <c r="E97" i="53"/>
  <c r="E98" i="53"/>
  <c r="E99" i="53"/>
  <c r="E100" i="53"/>
  <c r="E101" i="53"/>
  <c r="E102" i="53"/>
  <c r="E103" i="53"/>
  <c r="E104" i="53"/>
  <c r="E105" i="53"/>
  <c r="E106" i="53"/>
  <c r="E107" i="53"/>
  <c r="E108" i="53"/>
  <c r="E109" i="53"/>
  <c r="E110" i="53"/>
  <c r="E111" i="53"/>
  <c r="E112" i="53"/>
  <c r="E113" i="53"/>
  <c r="E114" i="53"/>
  <c r="E115" i="53"/>
  <c r="E116" i="53"/>
  <c r="E117" i="53"/>
  <c r="D5" i="53"/>
  <c r="D6" i="53"/>
  <c r="D7" i="53"/>
  <c r="D8" i="53"/>
  <c r="D9" i="53"/>
  <c r="D10" i="53"/>
  <c r="D11" i="53"/>
  <c r="D12" i="53"/>
  <c r="D13" i="53"/>
  <c r="D14" i="53"/>
  <c r="D15" i="53"/>
  <c r="D16" i="53"/>
  <c r="D17" i="53"/>
  <c r="D18" i="53"/>
  <c r="D19" i="53"/>
  <c r="D20" i="53"/>
  <c r="D21" i="53"/>
  <c r="D22" i="53"/>
  <c r="D23" i="53"/>
  <c r="D24" i="53"/>
  <c r="D25" i="53"/>
  <c r="D26" i="53"/>
  <c r="D27" i="53"/>
  <c r="D28" i="53"/>
  <c r="D29" i="53"/>
  <c r="D30" i="53"/>
  <c r="D31" i="53"/>
  <c r="D32" i="53"/>
  <c r="D33" i="53"/>
  <c r="D34" i="53"/>
  <c r="D35" i="53"/>
  <c r="D36" i="53"/>
  <c r="D37" i="53"/>
  <c r="D38" i="53"/>
  <c r="D39" i="53"/>
  <c r="D40" i="53"/>
  <c r="D41" i="53"/>
  <c r="D42" i="53"/>
  <c r="D43" i="53"/>
  <c r="D44" i="53"/>
  <c r="D45" i="53"/>
  <c r="D46" i="53"/>
  <c r="D47" i="53"/>
  <c r="D48" i="53"/>
  <c r="D49" i="53"/>
  <c r="D50" i="53"/>
  <c r="D51" i="53"/>
  <c r="D52" i="53"/>
  <c r="D53" i="53"/>
  <c r="D54" i="53"/>
  <c r="D55" i="53"/>
  <c r="D56" i="53"/>
  <c r="D57" i="53"/>
  <c r="D58" i="53"/>
  <c r="D59" i="53"/>
  <c r="D60" i="53"/>
  <c r="D61" i="53"/>
  <c r="D62" i="53"/>
  <c r="D63" i="53"/>
  <c r="D64" i="53"/>
  <c r="D65" i="53"/>
  <c r="D66" i="53"/>
  <c r="D67" i="53"/>
  <c r="D68" i="53"/>
  <c r="D69" i="53"/>
  <c r="D70" i="53"/>
  <c r="D71" i="53"/>
  <c r="D72" i="53"/>
  <c r="D73" i="53"/>
  <c r="D74" i="53"/>
  <c r="D75" i="53"/>
  <c r="D76" i="53"/>
  <c r="D77" i="53"/>
  <c r="D78" i="53"/>
  <c r="D79" i="53"/>
  <c r="D80" i="53"/>
  <c r="D81" i="53"/>
  <c r="D82" i="53"/>
  <c r="D83" i="53"/>
  <c r="D84" i="53"/>
  <c r="D85" i="53"/>
  <c r="D86" i="53"/>
  <c r="D87" i="53"/>
  <c r="D88" i="53"/>
  <c r="D89" i="53"/>
  <c r="D90" i="53"/>
  <c r="D91" i="53"/>
  <c r="D92" i="53"/>
  <c r="D93" i="53"/>
  <c r="D94" i="53"/>
  <c r="D95" i="53"/>
  <c r="D96" i="53"/>
  <c r="D97" i="53"/>
  <c r="D98" i="53"/>
  <c r="D99" i="53"/>
  <c r="D100" i="53"/>
  <c r="D101" i="53"/>
  <c r="D102" i="53"/>
  <c r="D103" i="53"/>
  <c r="D104" i="53"/>
  <c r="D105" i="53"/>
  <c r="D106" i="53"/>
  <c r="D107" i="53"/>
  <c r="D108" i="53"/>
  <c r="D109" i="53"/>
  <c r="D110" i="53"/>
  <c r="D111" i="53"/>
  <c r="D112" i="53"/>
  <c r="D113" i="53"/>
  <c r="D114" i="53"/>
  <c r="D115" i="53"/>
  <c r="D116" i="53"/>
  <c r="D117" i="53"/>
  <c r="E4" i="55"/>
  <c r="E5" i="55"/>
  <c r="E6" i="55"/>
  <c r="E7" i="55"/>
  <c r="E8" i="55"/>
  <c r="E9" i="55"/>
  <c r="E10" i="55"/>
  <c r="E11" i="55"/>
  <c r="E12" i="55"/>
  <c r="E13" i="55"/>
  <c r="E14" i="55"/>
  <c r="D4" i="55"/>
  <c r="D5" i="55"/>
  <c r="D6" i="55"/>
  <c r="D7" i="55"/>
  <c r="D8" i="55"/>
  <c r="D9" i="55"/>
  <c r="D10" i="55"/>
  <c r="D11" i="55"/>
  <c r="D12" i="55"/>
  <c r="D13" i="55"/>
  <c r="D14" i="55"/>
  <c r="D4" i="54"/>
  <c r="D5" i="54"/>
  <c r="D6" i="54"/>
  <c r="D7" i="54"/>
  <c r="D8" i="54"/>
  <c r="D9" i="54"/>
  <c r="D10" i="54"/>
  <c r="D11" i="54"/>
  <c r="D12" i="54"/>
  <c r="D13" i="54"/>
  <c r="D14" i="54"/>
  <c r="D15" i="54"/>
  <c r="D16" i="54"/>
  <c r="D17" i="54"/>
  <c r="D18" i="54"/>
  <c r="D19" i="54"/>
  <c r="D20" i="54"/>
  <c r="D21" i="54"/>
  <c r="D22" i="54"/>
  <c r="D23" i="54"/>
  <c r="D24" i="54"/>
  <c r="D25" i="54"/>
  <c r="D26" i="54"/>
  <c r="D27" i="54"/>
  <c r="D28" i="54"/>
  <c r="D29" i="54"/>
  <c r="D30" i="54"/>
  <c r="D31" i="54"/>
  <c r="D32" i="54"/>
  <c r="D33" i="54"/>
  <c r="D34" i="54"/>
  <c r="D35" i="54"/>
  <c r="D36" i="54"/>
  <c r="D37" i="54"/>
  <c r="D38" i="54"/>
  <c r="D39" i="54"/>
  <c r="D40" i="54"/>
  <c r="D41" i="54"/>
  <c r="D42" i="54"/>
  <c r="D43" i="54"/>
  <c r="D44" i="54"/>
  <c r="D45" i="54"/>
  <c r="D46" i="54"/>
  <c r="D47" i="54"/>
  <c r="D48" i="54"/>
  <c r="D49" i="54"/>
  <c r="D50" i="54"/>
  <c r="D51" i="54"/>
  <c r="D52" i="54"/>
  <c r="D53" i="54"/>
  <c r="D54" i="54"/>
  <c r="D55" i="54"/>
  <c r="D56" i="54"/>
  <c r="D57" i="54"/>
  <c r="D58" i="54"/>
  <c r="D59" i="54"/>
  <c r="D60" i="54"/>
  <c r="D61" i="54"/>
  <c r="D62" i="54"/>
  <c r="D63" i="54"/>
  <c r="D3" i="54"/>
  <c r="C4" i="54"/>
  <c r="C5" i="54"/>
  <c r="C6" i="54"/>
  <c r="C7" i="54"/>
  <c r="C8" i="54"/>
  <c r="C9" i="54"/>
  <c r="C10" i="54"/>
  <c r="C11" i="54"/>
  <c r="C12" i="54"/>
  <c r="C13" i="54"/>
  <c r="C14" i="54"/>
  <c r="C15" i="54"/>
  <c r="C16" i="54"/>
  <c r="C17" i="54"/>
  <c r="C18" i="54"/>
  <c r="C19" i="54"/>
  <c r="C20" i="54"/>
  <c r="C21" i="54"/>
  <c r="C22" i="54"/>
  <c r="C23" i="54"/>
  <c r="C24" i="54"/>
  <c r="C25" i="54"/>
  <c r="C26" i="54"/>
  <c r="C27" i="54"/>
  <c r="C28" i="54"/>
  <c r="C29" i="54"/>
  <c r="C30" i="54"/>
  <c r="C31" i="54"/>
  <c r="C32" i="54"/>
  <c r="C33" i="54"/>
  <c r="C34" i="54"/>
  <c r="C35" i="54"/>
  <c r="C36" i="54"/>
  <c r="C37" i="54"/>
  <c r="C38" i="54"/>
  <c r="C39" i="54"/>
  <c r="C40" i="54"/>
  <c r="C41" i="54"/>
  <c r="C42" i="54"/>
  <c r="C43" i="54"/>
  <c r="C44" i="54"/>
  <c r="C45" i="54"/>
  <c r="C46" i="54"/>
  <c r="C47" i="54"/>
  <c r="C48" i="54"/>
  <c r="C49" i="54"/>
  <c r="C50" i="54"/>
  <c r="C51" i="54"/>
  <c r="C52" i="54"/>
  <c r="C53" i="54"/>
  <c r="C54" i="54"/>
  <c r="C55" i="54"/>
  <c r="C56" i="54"/>
  <c r="C57" i="54"/>
  <c r="C58" i="54"/>
  <c r="C59" i="54"/>
  <c r="C60" i="54"/>
  <c r="C61" i="54"/>
  <c r="C62" i="54"/>
  <c r="C63" i="54"/>
  <c r="C3" i="54"/>
  <c r="D6" i="48"/>
  <c r="D7" i="48"/>
  <c r="D8" i="48"/>
  <c r="D9" i="48"/>
  <c r="D10" i="48"/>
  <c r="D11" i="48"/>
  <c r="D12" i="48"/>
  <c r="D13" i="48"/>
  <c r="D14" i="48"/>
  <c r="D15" i="48"/>
  <c r="D16" i="48"/>
  <c r="D17" i="48"/>
  <c r="D18" i="48"/>
  <c r="D19" i="48"/>
  <c r="D20" i="48"/>
  <c r="D21" i="48"/>
  <c r="D22" i="48"/>
  <c r="D23" i="48"/>
  <c r="D24" i="48"/>
  <c r="D25" i="48"/>
  <c r="D26" i="48"/>
  <c r="D27" i="48"/>
  <c r="D28" i="48"/>
  <c r="D29" i="48"/>
  <c r="D30" i="48"/>
  <c r="D31" i="48"/>
  <c r="D32" i="48"/>
  <c r="D33" i="48"/>
  <c r="D34" i="48"/>
  <c r="D35" i="48"/>
  <c r="D36" i="48"/>
  <c r="D37" i="48"/>
  <c r="D38" i="48"/>
  <c r="D39" i="48"/>
  <c r="D40" i="48"/>
  <c r="D41" i="48"/>
  <c r="D42" i="48"/>
  <c r="D43" i="48"/>
  <c r="D44" i="48"/>
  <c r="D45" i="48"/>
  <c r="D46" i="48"/>
  <c r="D47" i="48"/>
  <c r="D48" i="48"/>
  <c r="D49" i="48"/>
  <c r="D50" i="48"/>
  <c r="D51" i="48"/>
  <c r="D52" i="48"/>
  <c r="D53" i="48"/>
  <c r="D54" i="48"/>
  <c r="D55" i="48"/>
  <c r="D56" i="48"/>
  <c r="D57" i="48"/>
  <c r="D58" i="48"/>
  <c r="B169" i="51" l="1"/>
  <c r="B168" i="51"/>
  <c r="B171" i="51"/>
  <c r="B170" i="51"/>
  <c r="B172" i="51"/>
  <c r="E17" i="51"/>
  <c r="E13" i="51"/>
  <c r="E14" i="51"/>
  <c r="E15" i="51"/>
  <c r="E10" i="51"/>
  <c r="E21" i="51"/>
  <c r="E22" i="51"/>
  <c r="E23" i="51"/>
  <c r="E16" i="51"/>
  <c r="E11" i="51"/>
  <c r="E27" i="51"/>
  <c r="E9" i="51"/>
  <c r="E12" i="51"/>
  <c r="E28" i="51"/>
  <c r="Q149" i="51"/>
  <c r="E34" i="51"/>
  <c r="H11" i="48"/>
  <c r="H10" i="48"/>
  <c r="H9" i="48"/>
  <c r="H8" i="48"/>
  <c r="H7" i="48"/>
  <c r="B107" i="51"/>
  <c r="Q150" i="51" l="1"/>
  <c r="E35" i="51"/>
  <c r="I11" i="48"/>
  <c r="F58" i="54"/>
  <c r="F55" i="54"/>
  <c r="F57" i="54"/>
  <c r="Q151" i="51" l="1"/>
  <c r="E36" i="51"/>
  <c r="Q152" i="51" l="1"/>
  <c r="E37" i="51"/>
  <c r="Q153" i="51" l="1"/>
  <c r="E38" i="51"/>
  <c r="Q154" i="51" l="1"/>
  <c r="E39" i="51"/>
  <c r="I27" i="47"/>
  <c r="Q155" i="51" l="1"/>
  <c r="E40" i="51"/>
  <c r="B103" i="51"/>
  <c r="B104" i="51"/>
  <c r="B105" i="51"/>
  <c r="B106" i="51"/>
  <c r="B102" i="51"/>
  <c r="Q156" i="51" l="1"/>
  <c r="E41" i="51"/>
  <c r="B108" i="51"/>
  <c r="Q157" i="51" l="1"/>
  <c r="E42" i="51"/>
  <c r="I71" i="53"/>
  <c r="Q158" i="51" l="1"/>
  <c r="E44" i="51" s="1"/>
  <c r="E43" i="51"/>
  <c r="A6" i="53"/>
  <c r="A7" i="53" s="1"/>
  <c r="A8" i="53" s="1"/>
  <c r="A9" i="53" s="1"/>
  <c r="A10" i="53" s="1"/>
  <c r="A11" i="53" s="1"/>
  <c r="A12" i="53" s="1"/>
  <c r="A13" i="53" s="1"/>
  <c r="A14" i="53" s="1"/>
  <c r="A15" i="53" s="1"/>
  <c r="A16" i="53" s="1"/>
  <c r="A17" i="53" s="1"/>
  <c r="A18" i="53" s="1"/>
  <c r="A19" i="53" s="1"/>
  <c r="A20" i="53" s="1"/>
  <c r="A21" i="53" s="1"/>
  <c r="A22" i="53" s="1"/>
  <c r="A23" i="53" s="1"/>
  <c r="A24" i="53" s="1"/>
  <c r="A25" i="53" s="1"/>
  <c r="A26" i="53" s="1"/>
  <c r="A27" i="53" s="1"/>
  <c r="A28" i="53" s="1"/>
  <c r="A29" i="53" s="1"/>
  <c r="A30" i="53" s="1"/>
  <c r="A31" i="53" s="1"/>
  <c r="A32" i="53" s="1"/>
  <c r="A33" i="53" s="1"/>
  <c r="A34" i="53" s="1"/>
  <c r="A35" i="53" s="1"/>
  <c r="A36" i="53" s="1"/>
  <c r="A37" i="53" s="1"/>
  <c r="A38" i="53" s="1"/>
  <c r="A39" i="53" s="1"/>
  <c r="A40" i="53" s="1"/>
  <c r="A41" i="53" s="1"/>
  <c r="A42" i="53" s="1"/>
  <c r="A43" i="53" s="1"/>
  <c r="A44" i="53" s="1"/>
  <c r="A45" i="53" s="1"/>
  <c r="A46" i="53" s="1"/>
  <c r="A47" i="53" s="1"/>
  <c r="A48" i="53" s="1"/>
  <c r="A49" i="53" s="1"/>
  <c r="A50" i="53" s="1"/>
  <c r="A51" i="53" s="1"/>
  <c r="A52" i="53" s="1"/>
  <c r="A53" i="53" s="1"/>
  <c r="A54" i="53" s="1"/>
  <c r="A55" i="53" s="1"/>
  <c r="A56" i="53" s="1"/>
  <c r="A57" i="53" s="1"/>
  <c r="A58" i="53" s="1"/>
  <c r="A59" i="53" s="1"/>
  <c r="A60" i="53" s="1"/>
  <c r="A61" i="53" s="1"/>
  <c r="A62" i="53" s="1"/>
  <c r="A63" i="53" s="1"/>
  <c r="A64" i="53" s="1"/>
  <c r="A65" i="53" s="1"/>
  <c r="A66" i="53" s="1"/>
  <c r="A67" i="53" s="1"/>
  <c r="A68" i="53" s="1"/>
  <c r="A69" i="53" s="1"/>
  <c r="A70" i="53" s="1"/>
  <c r="A71" i="53" s="1"/>
  <c r="A72" i="53" s="1"/>
  <c r="A73" i="53" s="1"/>
  <c r="A74" i="53" s="1"/>
  <c r="A75" i="53" s="1"/>
  <c r="A76" i="53" s="1"/>
  <c r="A77" i="53" s="1"/>
  <c r="A78" i="53" s="1"/>
  <c r="A79" i="53" s="1"/>
  <c r="A80" i="53" s="1"/>
  <c r="A81" i="53" s="1"/>
  <c r="A82" i="53" s="1"/>
  <c r="A83" i="53" s="1"/>
  <c r="A84" i="53" s="1"/>
  <c r="A85" i="53" s="1"/>
  <c r="A86" i="53" s="1"/>
  <c r="A87" i="53" s="1"/>
  <c r="A88" i="53" s="1"/>
  <c r="A89" i="53" s="1"/>
  <c r="A90" i="53" s="1"/>
  <c r="A91" i="53" s="1"/>
  <c r="A92" i="53" s="1"/>
  <c r="A93" i="53" s="1"/>
  <c r="A94" i="53" s="1"/>
  <c r="A95" i="53" s="1"/>
  <c r="A96" i="53" s="1"/>
  <c r="A97" i="53" s="1"/>
  <c r="A98" i="53" s="1"/>
  <c r="A99" i="53" s="1"/>
  <c r="A100" i="53" s="1"/>
  <c r="A101" i="53" s="1"/>
  <c r="A102" i="53" s="1"/>
  <c r="A103" i="53" s="1"/>
  <c r="A104" i="53" s="1"/>
  <c r="A105" i="53" s="1"/>
  <c r="A106" i="53" s="1"/>
  <c r="A107" i="53" s="1"/>
  <c r="A108" i="53" s="1"/>
  <c r="A109" i="53" s="1"/>
  <c r="A110" i="53" s="1"/>
  <c r="A111" i="53" s="1"/>
  <c r="A112" i="53" s="1"/>
  <c r="A113" i="53" s="1"/>
  <c r="A114" i="53" s="1"/>
  <c r="A115" i="53" s="1"/>
  <c r="A116" i="53" s="1"/>
  <c r="A117" i="53" s="1"/>
  <c r="A5" i="55"/>
  <c r="A6" i="55" s="1"/>
  <c r="A7" i="55" s="1"/>
  <c r="A8" i="55" s="1"/>
  <c r="A9" i="55" s="1"/>
  <c r="A10" i="55" s="1"/>
  <c r="A11" i="55" s="1"/>
  <c r="A12" i="55" s="1"/>
  <c r="A13" i="55" s="1"/>
  <c r="A14" i="55" s="1"/>
  <c r="I117" i="53"/>
  <c r="I116" i="53"/>
  <c r="I115" i="53"/>
  <c r="I114" i="53"/>
  <c r="I113" i="53"/>
  <c r="I112" i="53"/>
  <c r="I111" i="53"/>
  <c r="I110" i="53"/>
  <c r="I109" i="53"/>
  <c r="I108" i="53"/>
  <c r="I107" i="53"/>
  <c r="I106" i="53"/>
  <c r="I105" i="53"/>
  <c r="I104" i="53"/>
  <c r="I103" i="53"/>
  <c r="I102" i="53"/>
  <c r="I101" i="53"/>
  <c r="I100" i="53"/>
  <c r="I99" i="53"/>
  <c r="I98" i="53"/>
  <c r="I97" i="53"/>
  <c r="I96" i="53"/>
  <c r="I95" i="53"/>
  <c r="I94" i="53"/>
  <c r="I93" i="53"/>
  <c r="I92" i="53"/>
  <c r="I91" i="53"/>
  <c r="I90" i="53"/>
  <c r="I89" i="53"/>
  <c r="I88" i="53"/>
  <c r="I87" i="53"/>
  <c r="I86" i="53"/>
  <c r="I85" i="53"/>
  <c r="I84" i="53"/>
  <c r="I83" i="53"/>
  <c r="I82" i="53"/>
  <c r="I81" i="53"/>
  <c r="I80" i="53"/>
  <c r="I79" i="53"/>
  <c r="I78" i="53"/>
  <c r="I77" i="53"/>
  <c r="I76" i="53"/>
  <c r="I75" i="53"/>
  <c r="I74" i="53"/>
  <c r="I73" i="53"/>
  <c r="I72" i="53"/>
  <c r="I70" i="53"/>
  <c r="I69" i="53"/>
  <c r="I68" i="53"/>
  <c r="I67" i="53"/>
  <c r="I66" i="53"/>
  <c r="I65" i="53"/>
  <c r="I64" i="53"/>
  <c r="I63" i="53"/>
  <c r="I62" i="53"/>
  <c r="I61" i="53"/>
  <c r="I60" i="53"/>
  <c r="I59" i="53"/>
  <c r="I58" i="53"/>
  <c r="I57" i="53"/>
  <c r="I56" i="53"/>
  <c r="I55" i="53"/>
  <c r="I54" i="53"/>
  <c r="I53" i="53"/>
  <c r="I52" i="53"/>
  <c r="I51" i="53"/>
  <c r="I50" i="53"/>
  <c r="I49" i="53"/>
  <c r="I48" i="53"/>
  <c r="I47" i="53"/>
  <c r="I46" i="53"/>
  <c r="I45" i="53"/>
  <c r="I44" i="53"/>
  <c r="I43" i="53"/>
  <c r="I42" i="53"/>
  <c r="I41" i="53"/>
  <c r="I40" i="53"/>
  <c r="I39" i="53"/>
  <c r="I38" i="53"/>
  <c r="I37" i="53"/>
  <c r="I36" i="53"/>
  <c r="I35" i="53"/>
  <c r="I34" i="53"/>
  <c r="I33" i="53"/>
  <c r="I32" i="53"/>
  <c r="I31" i="53"/>
  <c r="I30" i="53"/>
  <c r="I29" i="53"/>
  <c r="I28" i="53"/>
  <c r="I27" i="53"/>
  <c r="I26" i="53"/>
  <c r="I25" i="53"/>
  <c r="I24" i="53"/>
  <c r="I23" i="53"/>
  <c r="I22" i="53"/>
  <c r="I21" i="53"/>
  <c r="I20" i="53"/>
  <c r="I19" i="53"/>
  <c r="I18" i="53"/>
  <c r="I17" i="53"/>
  <c r="I16" i="53"/>
  <c r="I15" i="53"/>
  <c r="I14" i="53"/>
  <c r="I13" i="53"/>
  <c r="I12" i="53"/>
  <c r="I11" i="53"/>
  <c r="I10" i="53"/>
  <c r="I9" i="53"/>
  <c r="I8" i="53"/>
  <c r="I7" i="53"/>
  <c r="I6" i="53"/>
  <c r="I5" i="53"/>
  <c r="I26" i="47"/>
  <c r="I25" i="47"/>
  <c r="I24" i="47"/>
  <c r="I5" i="47"/>
  <c r="I11" i="47"/>
  <c r="I9" i="47"/>
  <c r="E65" i="51" l="1"/>
  <c r="C177" i="51"/>
  <c r="C176" i="51"/>
  <c r="C178" i="51"/>
  <c r="C182" i="51"/>
  <c r="C180" i="51"/>
  <c r="C183" i="51"/>
  <c r="C181" i="51"/>
  <c r="C179" i="51"/>
  <c r="B173" i="51" l="1"/>
  <c r="C171" i="51" l="1"/>
  <c r="C169" i="51"/>
  <c r="C168" i="51"/>
  <c r="C170" i="51"/>
  <c r="C172" i="51"/>
  <c r="B155" i="51"/>
  <c r="B153" i="51"/>
  <c r="B158" i="51"/>
  <c r="B146" i="51"/>
  <c r="B147" i="51"/>
  <c r="B148" i="51"/>
  <c r="B149" i="51"/>
  <c r="B150" i="51"/>
  <c r="B151" i="51"/>
  <c r="B152" i="51"/>
  <c r="B137" i="51"/>
  <c r="B161" i="51"/>
  <c r="B156" i="51"/>
  <c r="B154" i="51"/>
  <c r="B162" i="51"/>
  <c r="B138" i="51"/>
  <c r="B159" i="51"/>
  <c r="B139" i="51"/>
  <c r="B140" i="51"/>
  <c r="B157" i="51"/>
  <c r="B141" i="51"/>
  <c r="B142" i="51"/>
  <c r="B143" i="51"/>
  <c r="B144" i="51"/>
  <c r="B145" i="51"/>
  <c r="B160" i="51"/>
  <c r="B136" i="51"/>
  <c r="B132" i="51"/>
  <c r="B163" i="51" l="1"/>
  <c r="C140" i="51" s="1"/>
  <c r="C137" i="51" l="1"/>
  <c r="C149" i="51"/>
  <c r="C150" i="51"/>
  <c r="C157" i="51"/>
  <c r="C139" i="51"/>
  <c r="C138" i="51"/>
  <c r="C145" i="51"/>
  <c r="C148" i="51"/>
  <c r="C142" i="51"/>
  <c r="C136" i="51"/>
  <c r="C143" i="51"/>
  <c r="C153" i="51"/>
  <c r="C147" i="51"/>
  <c r="C160" i="51"/>
  <c r="C156" i="51"/>
  <c r="C155" i="51"/>
  <c r="C158" i="51"/>
  <c r="C141" i="51"/>
  <c r="C144" i="51"/>
  <c r="C151" i="51"/>
  <c r="C146" i="51"/>
  <c r="C154" i="51"/>
  <c r="C152" i="51"/>
  <c r="C159" i="51"/>
  <c r="C161" i="51"/>
  <c r="C162" i="51"/>
  <c r="B119"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tc={E33981DB-0532-413C-94C3-BDD2036B383A}</author>
    <author>tc={3E2800B9-9251-407B-9066-FB3B880C4B44}</author>
  </authors>
  <commentList>
    <comment ref="F12" authorId="0" shapeId="0" xr:uid="{E33981DB-0532-413C-94C3-BDD2036B383A}">
      <text>
        <t>[Threaded comment]
Your version of Excel allows you to read this threaded comment; however, any edits to it will get removed if the file is opened in a newer version of Excel. Learn more: https://go.microsoft.com/fwlink/?linkid=870924
Comment:
    Date of the news</t>
      </text>
    </comment>
    <comment ref="F13" authorId="1" shapeId="0" xr:uid="{3E2800B9-9251-407B-9066-FB3B880C4B44}">
      <text>
        <t>[Threaded comment]
Your version of Excel allows you to read this threaded comment; however, any edits to it will get removed if the file is opened in a newer version of Excel. Learn more: https://go.microsoft.com/fwlink/?linkid=870924
Comment:
    Date of news</t>
      </text>
    </comment>
  </commentList>
</comments>
</file>

<file path=xl/sharedStrings.xml><?xml version="1.0" encoding="utf-8"?>
<sst xmlns="http://schemas.openxmlformats.org/spreadsheetml/2006/main" count="3359" uniqueCount="1765">
  <si>
    <t>Paris Agreement Article 6 Pilot activites:</t>
  </si>
  <si>
    <t>№</t>
  </si>
  <si>
    <t>Title</t>
  </si>
  <si>
    <t>Host country</t>
  </si>
  <si>
    <t>Region</t>
  </si>
  <si>
    <t>Sub-region</t>
  </si>
  <si>
    <t>Province</t>
  </si>
  <si>
    <t>Type</t>
  </si>
  <si>
    <t>Sub-type</t>
  </si>
  <si>
    <t>ktCO2/yr</t>
  </si>
  <si>
    <t>Financed by</t>
  </si>
  <si>
    <t>Local coordinator</t>
  </si>
  <si>
    <t>Implementer</t>
  </si>
  <si>
    <t>Other involved institutes</t>
  </si>
  <si>
    <t>Buying country</t>
  </si>
  <si>
    <t>Web-site</t>
  </si>
  <si>
    <t>Persons</t>
  </si>
  <si>
    <t>Comments</t>
  </si>
  <si>
    <t>Pilot 1</t>
  </si>
  <si>
    <t>Bangkok E-Bus Programme</t>
  </si>
  <si>
    <t>Thailand</t>
  </si>
  <si>
    <t>Bangkok</t>
  </si>
  <si>
    <t>Transport</t>
  </si>
  <si>
    <t>Electric vehicles</t>
  </si>
  <si>
    <t>Foundation for Climate Protection and Carbon Offset KliK</t>
  </si>
  <si>
    <t>Privately operated scheduled public bus services within the Bangkok Metropolitan Region</t>
  </si>
  <si>
    <t>Klik Foundation</t>
  </si>
  <si>
    <t>Switzerland</t>
  </si>
  <si>
    <t>https://thailand.klik.ch/news/climate-protection-programme-approved-by-switzerland-thailand</t>
  </si>
  <si>
    <t>Energy Absolute Public Company Limited, Chatrapon Sripratum, Vice president / Strategy Development and Investment Planning Department / Tel. +66(0)2248-2488-92
KliK Foundation, Andrea Reiter, Communications, andrea.reiter@klik.ch,
+41 44 224 6059</t>
  </si>
  <si>
    <t>The total cost of ownership (TCO) of electric buses are currently much higher than the ones for internal combustion engine (ICE) buses. Carbon finance by the KliK Foundation from the purchase of around 500’000 International Transferred Mitigation Outcomes (ITMO) until 2030 shall be used to levelling the total cost of ownership differential between baseline buses and the programme e-buses.</t>
  </si>
  <si>
    <t>Pilot 2</t>
  </si>
  <si>
    <t xml:space="preserve">Dissemination of Domestic Biogas Digesters in Senegal’s Rural and Peri-urban Areas </t>
  </si>
  <si>
    <t>Senegal</t>
  </si>
  <si>
    <t>Methane avoidance</t>
  </si>
  <si>
    <t>Manure</t>
  </si>
  <si>
    <t>No data available</t>
  </si>
  <si>
    <t>Climate Cent Foundation: Selected for further development</t>
  </si>
  <si>
    <t>Consortium of Climate Focus (lead), Carbon Limits &amp; Afrique Energie Environnement</t>
  </si>
  <si>
    <t>https://www.international.klik.ch/en/Activities-and-impact/Mitigation-activities.287.html</t>
  </si>
  <si>
    <t>Mischa Classen</t>
  </si>
  <si>
    <t>To deploy at least 60,664 biogas units by 2030, going well beyond Senegal’s Paris pledge (27,500 and 49,000) digesters under its unconditional and conditional targets.  Will generate circa 557,000 tCO₂eq, of which 250,000 tCO₂eq would be trans­ferable under Article 6 of the Paris Agreement</t>
  </si>
  <si>
    <t>Pilot 3</t>
  </si>
  <si>
    <t>Sustainable Waste Management Program in Senegal</t>
  </si>
  <si>
    <t>Landfill gas</t>
  </si>
  <si>
    <t>Integrated solid waste management</t>
  </si>
  <si>
    <t>ALLCOT AG</t>
  </si>
  <si>
    <t>Recycling points, where waste will be sorted for subse­quent recy­cling. Composting facilities, for the organic waste treatment. Landfill gas collection and usage for electricity gener­ation, enhancing the devel­opment of landfill gas collection systems and subse­quent usage to reduce GHG emissions.</t>
  </si>
  <si>
    <t>Pilot 4</t>
  </si>
  <si>
    <t>EcoCar Solaire</t>
  </si>
  <si>
    <t>MANDU</t>
  </si>
  <si>
    <t>https://senegal.klik.ch/en/activites/ecocar-solaire</t>
  </si>
  <si>
    <t>The programme aims to convert up to one third of Dakar’s "Cars Rapides" into solar-powered electric vehicles. The artistically painted minibuses account for about 60% of public transport in Senegal's capital;</t>
  </si>
  <si>
    <t>Pilot 5</t>
  </si>
  <si>
    <t>Ghana’s Transitional National Clean Energy Access Program</t>
  </si>
  <si>
    <t>Ghana</t>
  </si>
  <si>
    <t>Solar</t>
  </si>
  <si>
    <t>Solar PV</t>
  </si>
  <si>
    <t>Environmental Protection Agency</t>
  </si>
  <si>
    <t>Ghana’s National Clean Energy Access Programme (NCEP) will operationalise Article 6.2 in Ghana and transfer mitigation outcomes of 2.2 MtCO2 as ITMOs to Switzerland. The NCEP may cover mitigation activities in decentralised renewable energy, clean cooking solutions, waste management and agriculture. Solar PVs, solar lanterns, solar home systems and improved cooking system.</t>
  </si>
  <si>
    <t>Pilot 6</t>
  </si>
  <si>
    <t>Clean Cooking: Transformative Cookstoves in Rural Ghana</t>
  </si>
  <si>
    <t>EE households</t>
  </si>
  <si>
    <t>Stoves</t>
  </si>
  <si>
    <t>ACT Commodities, Envirofit</t>
  </si>
  <si>
    <t>https://www.international.klik.ch/news/publications/clean-cooking</t>
  </si>
  <si>
    <t>The activi­ty foresees the sale of 60,000 Improved Cook Stoves (ICS) among small­holder farmers in rural Ghana and the estab­lishment of a dedi­cated fund in the form of a Village Loan and Savings Asso­ci­ation (VLSA) to enable access to a revolving consumer credit fund.</t>
  </si>
  <si>
    <t>Pilot 7</t>
  </si>
  <si>
    <t>Green ITMO Credit Line for the Peruvian SME Industry (ITMO-GCL)</t>
  </si>
  <si>
    <t>Peru</t>
  </si>
  <si>
    <t>EE industry</t>
  </si>
  <si>
    <t>First Climate, Apren and Grupo GEA</t>
  </si>
  <si>
    <t>The mitigation activity structures and sets up a guarantee facility to secure loans granted by local financial institutions for green investment projects. Is expected to trigger invest­ments of around USD 50M.</t>
  </si>
  <si>
    <t>Pilot 8</t>
  </si>
  <si>
    <t>Tuki Wasi ("Clean Homes"), Improved Cook Stoves in rural areas</t>
  </si>
  <si>
    <t>Microsol</t>
  </si>
  <si>
    <t>https://www.international.klik.ch/news/publications/tuki-wasi-clean-homes</t>
  </si>
  <si>
    <t>The programme promotes certified and effi­cient fuel wood stoves in the rural areas of Peru.</t>
  </si>
  <si>
    <t>Pilot 9</t>
  </si>
  <si>
    <t>Organic Waste to Energy Program Morocco</t>
  </si>
  <si>
    <t>Morocco</t>
  </si>
  <si>
    <t>Biomass energy</t>
  </si>
  <si>
    <t>Bagasse power</t>
  </si>
  <si>
    <t>Developed by First Climate, GGGI and MSConex.</t>
  </si>
  <si>
    <t>The organic waste is converted into biogas, which is then converted to heat and power.</t>
  </si>
  <si>
    <t>Pilot 10</t>
  </si>
  <si>
    <t>Energy Efficiency Fund in Morocco</t>
  </si>
  <si>
    <t xml:space="preserve">Econoler, Attijari and South Pole Carbon Asset Management </t>
  </si>
  <si>
    <t>Joint venture between Attijari Invest and Econoler</t>
  </si>
  <si>
    <t>The Energy Effi­ciency Fund in Morocco is an inno­v­ative mechanism that will provide services and financing to implement energy effi­ciency measures in the indus­trial and tertiary sectors. Its capitalization is expected to reach 350 M MAD (33 M EUR)</t>
  </si>
  <si>
    <t>Pilot 11</t>
  </si>
  <si>
    <t>Cookstove and Sustainable Biomass Programme</t>
  </si>
  <si>
    <t>Malawi</t>
  </si>
  <si>
    <t>Biomass briquettes or pellets</t>
  </si>
  <si>
    <t>C-Quest Capital</t>
  </si>
  <si>
    <t>https://www.international.klik.ch/news/publications/cookstove-and-sustainable-biomass-project</t>
  </si>
  <si>
    <t>Through the distri­b­ution of effi­cient cook stoves, the programme aims to eliminate open fire cooking and replace at least half of all current charcoal used by house­holds within 50 km of Lilongwe within 5 years.</t>
  </si>
  <si>
    <t>Pilot 12</t>
  </si>
  <si>
    <t>Green Finance for E-Mobility</t>
  </si>
  <si>
    <t>Dominica</t>
  </si>
  <si>
    <t>Grutter Consulting</t>
  </si>
  <si>
    <t>Mass deploy the usage of electric vehicles in Dominica through a private electric leasing company.</t>
  </si>
  <si>
    <t>Pilot 13</t>
  </si>
  <si>
    <t>Green AC market transformation programme</t>
  </si>
  <si>
    <t>HFCs</t>
  </si>
  <si>
    <t xml:space="preserve"> Environmental Protection Agency (EPA) and the Energy Commission (EC) of Ghana</t>
  </si>
  <si>
    <t>GIZ Klik Foundation</t>
  </si>
  <si>
    <t>Deutsche Gesellschaft für Internationale Zusammenarbeit (GIZ) GmbH and Perspectives Climate Group</t>
  </si>
  <si>
    <t>https://news-int.klik.ch/en/news/green-cooling-in-ghana</t>
  </si>
  <si>
    <t xml:space="preserve">The activity aims to transform Ghana's AC sector towards green cooling by accelerating the uptake of highly energy efficient and climate-friendly AC units. The introduction of these “Green Split ACs” is supported by various financial and technical measures aimed at strengthening the potential of alternative and sustainable technologies. The envisaged measures range from financial incentives that remove economic barriers over capacity-building measures to the adequate disposal of end-of-life equipment. Current status: Letter of intent &amp; under development. </t>
  </si>
  <si>
    <t>Pilot 14</t>
  </si>
  <si>
    <t>Promotion of climate-smart Agriculture Practices for Sustainable Rice Cultivation</t>
  </si>
  <si>
    <t>Agriculture</t>
  </si>
  <si>
    <t>Rice crops</t>
  </si>
  <si>
    <t>Ministry of Environment,  Science, Technology, and Innovation (MESTI)</t>
  </si>
  <si>
    <t>UNDP</t>
  </si>
  <si>
    <t>https://www.undp.org/ghana/press-releases/ghana-authorizes-transfer-mitigation-outcomes-switzerland</t>
  </si>
  <si>
    <t>UNDP
Ms. Praise Nutakor, Head of Communications and Partnerships, UNDP Ghana at praise.nutakor@undp.org
Ministry of Environment, Science, Technology and Innovation (MESTI)
Ms. Gloria Holm-Graves, Head of Public Relations, MESTI, Ghana at gloria.holm-graves@mesti.gov.gh</t>
  </si>
  <si>
    <t>The expected quanitity of emissions reductions (units) is 1125655 tCO2eq. The Ghana climate-smart rice project will support the training of over thousands of rice farmers – covering nearly 80 percent of Ghana’s rice production – in sustainable agricultural practices, leading to significant methane emission reductions. The intervention will also provide extra income through carbon revenue to farmers for increased resilience and improve efficiency of water use.</t>
  </si>
  <si>
    <t>Pilot 15</t>
  </si>
  <si>
    <t>Integrated waste recycling and composting for methane reduction in Ghana</t>
  </si>
  <si>
    <t>Composting</t>
  </si>
  <si>
    <t xml:space="preserve">	
Zoomlion Ghana Limited</t>
  </si>
  <si>
    <t>Ghana-Swiss Cooperative Approach under Article 6.2 of the Paris Agreement – Carbon Markets Office</t>
  </si>
  <si>
    <t>Current status: validation.</t>
  </si>
  <si>
    <t>Pilot 16</t>
  </si>
  <si>
    <t>Landfill Gas Management</t>
  </si>
  <si>
    <t>Klik Foundation and Allcot/Recovia</t>
  </si>
  <si>
    <t>Current status: Letter of Intent &amp; under consideration</t>
  </si>
  <si>
    <t>Pilot 17</t>
  </si>
  <si>
    <t>Biomass pellet</t>
  </si>
  <si>
    <t>Current status: Letter of Intent &amp; under development</t>
  </si>
  <si>
    <t>Pilot 18</t>
  </si>
  <si>
    <t>A programmatic approach to E-Mobility</t>
  </si>
  <si>
    <t>Klik Foundation and Kofa</t>
  </si>
  <si>
    <t>Current Status: Development of Mitigation Activity Idea Note (MAIN)</t>
  </si>
  <si>
    <t>Pilot 19</t>
  </si>
  <si>
    <t>Biomas and electric pressure cookers</t>
  </si>
  <si>
    <t>Klik Foundation and UpEnergy</t>
  </si>
  <si>
    <t>Current status: Development of Mitigation Activity Idea Note (MAIN)</t>
  </si>
  <si>
    <t>Pilot 20</t>
  </si>
  <si>
    <t>The programme AREP Peru (Additional Renewable Energy Platform Peru)</t>
  </si>
  <si>
    <t>Departments of Loreto and Amazonas</t>
  </si>
  <si>
    <t>Ongresso Energy AG</t>
  </si>
  <si>
    <t>KliK Foundation and Ongresso Energy</t>
  </si>
  <si>
    <t>Peruvian Ministry of the Environment (MINAM), the Federal Office of the Environment of Switzerland (FOEN) and the KliK Foundation</t>
  </si>
  <si>
    <t>https://www.international.klik.ch/aktivitaeten/klimaschutzaktivitaeten/publikationen/arep-peru</t>
  </si>
  <si>
    <t>Term and expected scale: 2023 – 2030 / up to 900’000 t CO₂</t>
  </si>
  <si>
    <t>Pilot 21</t>
  </si>
  <si>
    <t>Georgia Energy Efficiency Scheme</t>
  </si>
  <si>
    <t>Georgia</t>
  </si>
  <si>
    <t>Lighting &amp; Insulation &amp; Solar</t>
  </si>
  <si>
    <t>Consortium of Perspectives Climate Group (Lead), Thomas Nordmann Consulting and Energy Efficiency Center Georgia</t>
  </si>
  <si>
    <t>KliK Foundation</t>
  </si>
  <si>
    <t>https://www.international.klik.ch/aktivitaeten/klimaschutzaktivitaeten/publikationen/georgia-energy-efficiency-scheme</t>
  </si>
  <si>
    <t>The emission reduction potential per building is estimated to be approximately 10 tCO₂ until 2030. This activity will focus on new and existing buildings in the public and private sector and will aim to mitigate 100,000 tCO₂ by 2030.</t>
  </si>
  <si>
    <t>Pilot 22</t>
  </si>
  <si>
    <t>Malawi Dairy Biogas Programme</t>
  </si>
  <si>
    <t>Domestic manure</t>
  </si>
  <si>
    <t>ACT Commodities Sistema.bio</t>
  </si>
  <si>
    <t>https://www.international.klik.ch/aktivitaeten/klimaschutzaktivitaeten/publikationen/malawi-dairy-biogas-programme</t>
  </si>
  <si>
    <t>Smallholder farmers across Malawi Term and expected scale: 2022-2030/approx. 360,000 tCO₂</t>
  </si>
  <si>
    <t>Pilot 23</t>
  </si>
  <si>
    <t>Solar power electrification programme</t>
  </si>
  <si>
    <t>Vanuatu</t>
  </si>
  <si>
    <t>National Green Energy Fund
Department of Energy, Ministry of Climate Change
United Nations Development Programme</t>
  </si>
  <si>
    <t>https://www.bafu.admin.ch/bafu/en/home/topics/climate/info-specialists/reduction-measures/compensation/abroad/registered-projects-abroad.html</t>
  </si>
  <si>
    <t>Current status: Authorization Statement by the Federal Office for the Environment of the Swiss Confederation</t>
  </si>
  <si>
    <t>Urban climate action: pilot projects under Article 6 of the Paris Agreement in Indonesia and Thailand</t>
  </si>
  <si>
    <t>Indonesia, Thailand</t>
  </si>
  <si>
    <t>ICLEI - Local Governments for Sustainability e.V.
Thailand Greenhouse Gas Management Organization</t>
  </si>
  <si>
    <t>Perspectives Climate Group GmbH</t>
  </si>
  <si>
    <t>Germany</t>
  </si>
  <si>
    <t>https://www.international-climate-initiative.com/en/project/urban-climate-action-pilot-projects-under-article-6-of-the-paris-agreement-in-indonesia-thailand-img2020-i-006-asia-urban-climate-action-article-6-paris-agreement/</t>
  </si>
  <si>
    <t>"The project develops pragmatic approaches for the implementation of activities corresponding to the article 6 of the Paris Agreement in cities."  "The expected outcome of the project is to have at least one pilot city in each country that is able to generate emission certificates according to Article 6."</t>
  </si>
  <si>
    <t xml:space="preserve">Joint Crediting Mechanism (JCM) projects </t>
  </si>
  <si>
    <t>"Japan establishes and implements the JCM in order both to appropriately evaluate contributions from Japan to GHG emission reductions or removals in a quantitative manner achieved through diffusion of decarbonizing technologies, products, systems, services, and infrastructure as well as implementation of mitigation actions in developing and other countries, and to use them to achieve Japan’s emission reduction target."</t>
  </si>
  <si>
    <t>Source of information: https://gec.jp/jcm</t>
  </si>
  <si>
    <t>Number</t>
  </si>
  <si>
    <t>Introduction of Amorphous High Efficiency Transformers in Northern, Central and Southern Power Grids II</t>
  </si>
  <si>
    <t>Vietnam</t>
  </si>
  <si>
    <t>1. Khanh Hoa Province; 2. Dong Nai Province; 3. Hanoi</t>
  </si>
  <si>
    <t>Energy distribution</t>
  </si>
  <si>
    <t>Efficient electricity distribution</t>
  </si>
  <si>
    <t>The proposed project was partially supported by the Ministry of the Environment, Japan (MOEJ) through the financial program for JCM model projects, which provided the financial support of less than half of the initial investment for the projects in order to acquire JCM credits</t>
  </si>
  <si>
    <t>1. Khanh Hoa Power Joint Stock Company (KHPC); 2. Dong Nai Power Company (Dong Nai PC); 3. EVN Hanoi Power Corporation (EVN HN)</t>
  </si>
  <si>
    <t>Yuko-Keiso Co., Ltd.</t>
  </si>
  <si>
    <t>Japan</t>
  </si>
  <si>
    <t>https://www.jcm.go.jp/projects/105</t>
  </si>
  <si>
    <t>Status: Validation</t>
  </si>
  <si>
    <t>106MW Solar Power Project in An Giang Province</t>
  </si>
  <si>
    <t>An Giang Province</t>
  </si>
  <si>
    <t>Sao Mai Group Corporation</t>
  </si>
  <si>
    <t>Kanematsu KGK Cor</t>
  </si>
  <si>
    <t>https://www.jcm.go.jp/projects/104</t>
  </si>
  <si>
    <t>Installation of High Efficiency Kiln in Sanitary Ware Manufacturing Factory</t>
  </si>
  <si>
    <t>Hung Yen Province</t>
  </si>
  <si>
    <t>EE Industry</t>
  </si>
  <si>
    <t>TOTO VIETNAM Co., Ltd.</t>
  </si>
  <si>
    <t>TOTO Ltd.</t>
  </si>
  <si>
    <t>https://www.jcm.go.jp/projects/76</t>
  </si>
  <si>
    <t>Energy Saving in Factories with Air-Conditioning Control System</t>
  </si>
  <si>
    <t>Ho Chi Minh City</t>
  </si>
  <si>
    <t>Nidec Vietnam Corporation; Nidec Copal Precision (Vietnam) Corporation; Nidec Servo Vietnam Corporation; Nidec Sankyo Vietnam Corporation; Nidec Tosok (Vietnam) Co., Ltd.</t>
  </si>
  <si>
    <t>Yuko Keiso Co., Ltd.</t>
  </si>
  <si>
    <t>https://www.jcm.go.jp/projects/67</t>
  </si>
  <si>
    <t>Introduction of high-efficient wire stranding machines to the factory of YAZAKI EDS VIETNAM Co., LTD.</t>
  </si>
  <si>
    <t>N/A</t>
  </si>
  <si>
    <t>YAZAKI EDS VIETNAM Co., LTD.</t>
  </si>
  <si>
    <t>YAZAKI Parts Co., LTD.; YAZAKI corporation</t>
  </si>
  <si>
    <t>https://www.jcm.go.jp/projects/60</t>
  </si>
  <si>
    <t>Status: Registered by JCM on 28 May 19</t>
  </si>
  <si>
    <t>Introduction of Amorphous High Efficiency Transformers in Northern, Central and Southern Power Grids</t>
  </si>
  <si>
    <t>Province/state/province etc. corresponding to the location of headquarters of four partner companies: 1. EVN Southern Power Corporation (EVNSPC) Ho Chi Minh City; 2. EVN Hanoi (EVNHN) Hanoi; 3. Khanh Hoa Power Joint Stock Company (KHPC) Khanh Hoa Province; 4. Dong Nai Power Company (Dong Nai PC) Dong Nai Province</t>
  </si>
  <si>
    <t>EVN Southern Power Corporation; EVN Hanoi; Khanh Hoa Power Joint Stock Company; Dong Nai Power Company</t>
  </si>
  <si>
    <t>https://www.jcm.go.jp/projects/59</t>
  </si>
  <si>
    <t>Status: Registered by JCM  on 28 May 19</t>
  </si>
  <si>
    <t>Introduction of High Efficiency Water Pumps in Da Nang City</t>
  </si>
  <si>
    <t>Danang Water Supply Joint Stock Company (DAWACO)</t>
  </si>
  <si>
    <t>Yokohama Water Co., Ltd.</t>
  </si>
  <si>
    <t>https://www.jcm.go.jp/projects/55</t>
  </si>
  <si>
    <t>Installation of Energy Saving Equipment in Lens Factory</t>
  </si>
  <si>
    <t>Binh Duong Province</t>
  </si>
  <si>
    <t>HOYA LENS VIETNAM LTD</t>
  </si>
  <si>
    <t>HOYA CORPORATION</t>
  </si>
  <si>
    <t xml:space="preserve">https://www.jcm.go.jp/projects/54 </t>
  </si>
  <si>
    <t>Status: Registered by JCM  on 28 May 20</t>
  </si>
  <si>
    <t>Installation of Container Formation Facility at Lead Acid Battery Factory of Hitachi Chemical Energy Technology (Vietnam) Co., Ltd.</t>
  </si>
  <si>
    <t>Dong Nai Province</t>
  </si>
  <si>
    <t>Chemicals</t>
  </si>
  <si>
    <t>CSB Energy Technology (Vietnam) Co., Ltd. (formerly Hitachi Chemical Energy Technology (Vietnam) Co., Ltd.</t>
  </si>
  <si>
    <t>Resonac Corporation (formerly Showa Denko Materials Co., Ltd. (formerly Hitachi Chemical Co., Ltd.))</t>
  </si>
  <si>
    <t>https://www.jcm.go.jp/projects/52</t>
  </si>
  <si>
    <t>Introduction of Energy-Efficient Air Conditioners in RICOH IMAGING PRODUCTS (Vietnam) CO., LTD</t>
  </si>
  <si>
    <t>Hanoi</t>
  </si>
  <si>
    <t>RICOH IMAGING PRODUCTS (Vietnam) CO., LTD.</t>
  </si>
  <si>
    <t>RICOH COMPANY, LTD.</t>
  </si>
  <si>
    <t>https://www.jcm.go.jp/projects/37</t>
  </si>
  <si>
    <t>Status: Registered by JCM  on 15 August 2018</t>
  </si>
  <si>
    <t>Introduction of Amorphous High Efficiency Transformers in Southern and Central Power Grids</t>
  </si>
  <si>
    <t>Region/State/Province etc: Province/City etc. corresponding to the location of headquarters of each regional power corporations and district power companies involved: 1. An Giang Province; 2. Ba Ria Vung Tau Province; 3. Bac Lieu Province; 4. Ben Tre Province; 5. Binh Duong Province; 6. Binh Phuoc Province; 7. Binh Thuan Province; 8. Ca Mau Province; 9. Can Tho City; 10. Dong Thap; 11. Hau Giang; 12. Kien Giang; 13. Lam Dong Province; 14. Long An Province; 15. Ninh Thuan Province; 16. Soc Trang Province; 17. Tay Ninh Province; 18. Tien Giang Province; 19. Tra Vinh Province; 20. Vinh Long Province; 21. Ho Chi Minh City; 22. Binh Dinh Province; 23. Dak lak Province; 24. Dak Nong Province; 25. Gia Lai Province; 26. Kon Tum Province; 27. Phu Yen Province; 28. Quang Binh Province; 29. Quang Nam Province; 30. Quang Ngai Province; 31. Quang Tri Province; 32. Thua Thien Hue Province; 33. Ho Chi Minh City; 34. Da Nang City.</t>
  </si>
  <si>
    <t>EVN Southern Power Corporation (EVNSPC); EVN Central Power Corporation (EVNCPC); Da Nang Power Company Ltd. (DNPC); Ho Chi Minh City Power Corporation (EVN HCMC).</t>
  </si>
  <si>
    <t>YUKO-KEISO Co., Ltd.</t>
  </si>
  <si>
    <t>https://www.jcm.go.jp/projects/35</t>
  </si>
  <si>
    <t>Introduction of Solar PV System at shopping mall in Ho Chi Minh</t>
  </si>
  <si>
    <t>Lot PT1, Hi-tech Healthcare Park, 532A Kinh Duong Vuong, Binh Tri Dong B ward, Binh Tan District</t>
  </si>
  <si>
    <t>AEON VIETNAM CO., LTD.</t>
  </si>
  <si>
    <t>AEON RETAIL CO., LTD.</t>
  </si>
  <si>
    <t>https://www.jcm.go.jp/projects/34/pdd_file</t>
  </si>
  <si>
    <t>Energy saving and work efficiency improvement by introducing a new chip-on-board LED system in Vietnam</t>
  </si>
  <si>
    <t>Quang Tri Province</t>
  </si>
  <si>
    <t>EE service</t>
  </si>
  <si>
    <t>Lighting in service</t>
  </si>
  <si>
    <t>Department of Science and Technology of Quang Tri Province (DOS</t>
  </si>
  <si>
    <t>Stanley Electric Co., Ltd.</t>
  </si>
  <si>
    <t>https://www.jcm.go.jp/projects/33</t>
  </si>
  <si>
    <t>Introduction of High Efficiency Air-conditioning in Hotel</t>
  </si>
  <si>
    <t>Air conditioning</t>
  </si>
  <si>
    <t>Peace Real Estate Investment Company Limited</t>
  </si>
  <si>
    <t>NTT DATA INSTITUTE OF MANAGEMENT CONSULTING, Inc</t>
  </si>
  <si>
    <t>https://www.jcm.go.jp/projects/23</t>
  </si>
  <si>
    <t>Status: Registered by JCM  on 10 October 2017</t>
  </si>
  <si>
    <t>Introduction of amorphous high efficiency transformers in power distribution systems in the southern part of Viet Nam</t>
  </si>
  <si>
    <t>(1)An Giang Province; (2)Ba Ria-Vung Tau Province; (3)Bac Lieu Province; (4)Ben Tre Province; (5)Binh Duong Province; (6)Binh Phuoc Province; (7)Binh Thuan Province; (8)Ca Mau Province; (9)Can Tho City; (10)Dong Thap Province; (11)Hau Giang Province; (12)Kien Giang Province; (13)Long An Province; (14)Ninh Thuan Province; (15)Soc Trang Province; (16)Tay Ninh Province; (17)Tien Giang Province; (18)Tra Vinh Province; (19)Vinh Long Province</t>
  </si>
  <si>
    <t>EVN Southern Power Corporation (EVNSPC)</t>
  </si>
  <si>
    <t>https://www.jcm.go.jp/projects/15</t>
  </si>
  <si>
    <t>Status: Registered by JCM  on 15 May 2016</t>
  </si>
  <si>
    <t>Low carbon hotel project in Vietnam: Improving the energy efficiency of commercial buildings by utilization of high efficiency equipment</t>
  </si>
  <si>
    <t>Hochiminh City University of Natural Resources and Environment (HCMUNRE)</t>
  </si>
  <si>
    <t>Hibiya Engineering, Ltd.; Mitsubishi UFJ Morgan Stanley Securities Co., Ltd.</t>
  </si>
  <si>
    <t>https://www.jcm.go.jp/projects/12</t>
  </si>
  <si>
    <t>Promotion of green hospitals by improving efficiency / environment in national hospitals in Vietnam</t>
  </si>
  <si>
    <t>Start-up and Innovation Hub of Ho Chi Minh City</t>
  </si>
  <si>
    <t>Mitsubishi Electric Corporation, Mitsubishi Corporation, Mitsubishi UFJ Morgan Stanley Securities Co., Ltd.</t>
  </si>
  <si>
    <t>https://www.jcm.go.jp/projects/8</t>
  </si>
  <si>
    <t>Status: Registered by JCM  on 30 November 2015</t>
  </si>
  <si>
    <t>Eco-Driving by Utilizing Digital Tachograph System</t>
  </si>
  <si>
    <t>[Hanoi Operations] Hanoi [Ho Chi Minh City Operations] Binh Duong Province</t>
  </si>
  <si>
    <t>Nippon Express (Viet Nam) Co., Ltd.</t>
  </si>
  <si>
    <t>NIPPON EXPRESS HOLDINGS,INC. (formerly Nippon Express Co., Ltd.)</t>
  </si>
  <si>
    <t>https://www.jcm.go.jp/projects/7</t>
  </si>
  <si>
    <t>Status: Registered by JCM  on 30 August 2015</t>
  </si>
  <si>
    <t>Low-carbon Operation for Power Grid Utilizing Online Voltage-var(Q) Optimal Control (OPENVQ) with ICT</t>
  </si>
  <si>
    <t>20 provinces that are covered by NEC of EGAT, namely Amnat Charoen, Bueng Kan, Buriram, Chaiyaphum, Kalasin, Khon Kaen, Loei, Maha Sarakham, Mukdahan, Nakhon Phanom, Nakhon Ratchasima, Nong Bua Lamphu, Nong Khai, Roi Et, Sakon Nakhon, Si Sa Ket, Surin, Ubon Ratchathani, Udon Thani, and Yasothon Provinces.</t>
  </si>
  <si>
    <t>Electricity Generating Authority of Thailand (EGAT)</t>
  </si>
  <si>
    <t>Hitachi, Ltd.</t>
  </si>
  <si>
    <t>https://www.jcm.go.jp/projects/111</t>
  </si>
  <si>
    <t>Introduction of High Efficiency Ion Exchange Membrane Electrolyzer in Caustic Soda Production Plant</t>
  </si>
  <si>
    <t>Samut Prakarn</t>
  </si>
  <si>
    <t>AGC Chemicals (Thailand) Co, Ltd.</t>
  </si>
  <si>
    <t>AGC Inc.</t>
  </si>
  <si>
    <t>https://www.jcm.go.jp/projects/107</t>
  </si>
  <si>
    <t>Introduction of 0.8MW Solar Power System and High Efficiency Refrigerator to Food Factory</t>
  </si>
  <si>
    <t>Samut Prakarn Province</t>
  </si>
  <si>
    <t>Thai Delmar Co., Ltd.</t>
  </si>
  <si>
    <t>Kanematsu KGK Corp</t>
  </si>
  <si>
    <t>https://www.jcm.go.jp/projects/106</t>
  </si>
  <si>
    <t>Energy saving by installation of evaporator with mechanical vapor recompression and high-efficiency chiller</t>
  </si>
  <si>
    <t>Rayong</t>
  </si>
  <si>
    <t>THAI KYOWA BIOTECHNOLOGIES CO., LTD</t>
  </si>
  <si>
    <t>KYOWA HAKKO BIO CO., LTD.</t>
  </si>
  <si>
    <t xml:space="preserve">https://www.jcm.go.jp/projects/103 </t>
  </si>
  <si>
    <t>Installation of Energy-efficient Refrigerators Using Natural Refrigerant at Distribution Centre of Better Foods Co., Ltd.</t>
  </si>
  <si>
    <t>Lopburi Province</t>
  </si>
  <si>
    <t>Better Foods Co., Ltd.</t>
  </si>
  <si>
    <t>KANEMATSU CORPORATON</t>
  </si>
  <si>
    <t>https://www.jcm.go.jp/projects/101</t>
  </si>
  <si>
    <t>Energy Saving by Introduction of High Efficiency Chilled Water Supply System in Milk Factory</t>
  </si>
  <si>
    <t>Saraburi</t>
  </si>
  <si>
    <t>Food</t>
  </si>
  <si>
    <t>CP-Meiji Co., Ltd.</t>
  </si>
  <si>
    <t>TEPIA Corporation Japan Co., Ltd.</t>
  </si>
  <si>
    <t>https://www.jcm.go.jp/projects/100</t>
  </si>
  <si>
    <t>Introduction of High-efficiency Boiler System to Rubber Belt Plant</t>
  </si>
  <si>
    <t>Samutsakorn Province</t>
  </si>
  <si>
    <t>Bando Manufacturing (Thailand) Ltd.</t>
  </si>
  <si>
    <t>Bando Chemical Industries, Ltd.</t>
  </si>
  <si>
    <t>https://www.jcm.go.jp/projects/96</t>
  </si>
  <si>
    <t>Introduction of 0.97 MW Rooftop Solar Power System for Fishery Net Factory
Ref No. TH017</t>
  </si>
  <si>
    <t>Samut Prakan Province</t>
  </si>
  <si>
    <t>Siam Brothers Corp., Ltd.</t>
  </si>
  <si>
    <t>Finetech Co., Ltd.</t>
  </si>
  <si>
    <t>https://www.jcm.go.jp/projects/95</t>
  </si>
  <si>
    <t>Introduction of 0.95 MW Rooftop Solar Power System in Cigarette Lighter Factory</t>
  </si>
  <si>
    <t>Samut Sakorn Province</t>
  </si>
  <si>
    <t>Thai Merry Co., Ltd.</t>
  </si>
  <si>
    <t>https://www.jcm.go.jp/projects/70</t>
  </si>
  <si>
    <t>Introduction of 3.4 MW Rooftop Solar Power System in Technical Center and Office Buildings</t>
  </si>
  <si>
    <t>(1) Samutprakarn Province; and (2) Chacheongsao Province
City/Town/Community etc: (1) 99 Moo 5 Ban-Ragad, Bang-Bo; and (2) 99 Moo 2 Ladkwang, Banpho</t>
  </si>
  <si>
    <t>Toyota Daihatsu Engineering &amp; Manufacturing Co., Ltd.</t>
  </si>
  <si>
    <t>https://www.jcm.go.jp/projects/91</t>
  </si>
  <si>
    <t>Introduction of 5MW Floating Solar Power System on Industrial Water Reservoir in Thailand
General</t>
  </si>
  <si>
    <t>Kabinburi Province</t>
  </si>
  <si>
    <t xml:space="preserve">	TSB Bangkok Co., Ltd.</t>
  </si>
  <si>
    <t>TSB Co., Ltd.</t>
  </si>
  <si>
    <t>https://www.jcm.go.jp/projects/78</t>
  </si>
  <si>
    <t>Status: Project registered on 28 September 2020</t>
  </si>
  <si>
    <t>Installation of Co-Generation Plant for On-Site Energy Supply and High Efficiency Non-Inverter Type Centrifugal Chiller in Motorcycle Factory</t>
  </si>
  <si>
    <t>EE supply side</t>
  </si>
  <si>
    <t>Cogeneration</t>
  </si>
  <si>
    <t>NS-OG Energy Solutions (Thailand) Ltd.</t>
  </si>
  <si>
    <t>NIPPON STEEL ENGINEERING CO., LTD.</t>
  </si>
  <si>
    <t>https://www.jcm.go.jp/projects/74</t>
  </si>
  <si>
    <t>Status: Project registered on 17 June 2022</t>
  </si>
  <si>
    <t>Introduction of 0.97 MW Rooftop Solar Power System for Fishery Net Factory</t>
  </si>
  <si>
    <t xml:space="preserve">	Finetech Co., Ltd.</t>
  </si>
  <si>
    <t>https://www.jcm.go.jp/projects/71</t>
  </si>
  <si>
    <t>Status: Request for registration withdrawn</t>
  </si>
  <si>
    <t>(1) Samutprakarn Province; (2) Chacheongsao Province</t>
  </si>
  <si>
    <t>Toyota Motor Corporation</t>
  </si>
  <si>
    <t>https://www.jcm.go.jp/projects/69</t>
  </si>
  <si>
    <t>Status: Request for Registration withdrawn</t>
  </si>
  <si>
    <t>Introduction of 30MW Rooftop Solar Power System to Large Supermarkets</t>
  </si>
  <si>
    <t>Various sites in Thailand</t>
  </si>
  <si>
    <t>Impact Electrons Siam Co., Ltd.; Impact Solar Limited</t>
  </si>
  <si>
    <t>Sharp Energy Solutions Corporation</t>
  </si>
  <si>
    <t>https://www.jcm.go.jp/projects/68</t>
  </si>
  <si>
    <t>Status: Project registered on 27 March 2020</t>
  </si>
  <si>
    <t>Introduction of Heat Recovery Heat Pumps to a Chicken Slaughtering Plant in Thailand</t>
  </si>
  <si>
    <t>Chok Chai, Nakhonratchasima Province</t>
  </si>
  <si>
    <t>CPF (Thailand) Public Company Limited</t>
  </si>
  <si>
    <t>CPF Japan Co., Ltd.</t>
  </si>
  <si>
    <t>https://www.jcm.go.jp/projects/65</t>
  </si>
  <si>
    <t>Status: Project registered 20 September 2021</t>
  </si>
  <si>
    <t>Energy Saving for Air conditioning in Tire Manufacturing Factory with High Efficiency Centrifugal Chiller</t>
  </si>
  <si>
    <t>Chonburi province</t>
  </si>
  <si>
    <t>Machinery</t>
  </si>
  <si>
    <t xml:space="preserve">	Bridgestone Tire Manufacturing (THAILAND) Co., Ltd.</t>
  </si>
  <si>
    <t>INABATA &amp; CO., LTD.</t>
  </si>
  <si>
    <t xml:space="preserve">https://www.jcm.go.jp/projects/64 </t>
  </si>
  <si>
    <t>Status: Project registered 17 June 2022</t>
  </si>
  <si>
    <t>Power Generation by Waste Heat Recovery in Cement Industry</t>
  </si>
  <si>
    <t>Saraburi Province</t>
  </si>
  <si>
    <t>Cement</t>
  </si>
  <si>
    <t>Siam City Power Company Limited</t>
  </si>
  <si>
    <t>NTT Data Institute of Management Consulting Inc.</t>
  </si>
  <si>
    <t>https://www.jcm.go.jp/projects/53</t>
  </si>
  <si>
    <t>Status: Project registered 2 August 2019</t>
  </si>
  <si>
    <t>Introduction of 3.4MW Rooftop Solar Power System to Air-conditioning Parts Factories</t>
  </si>
  <si>
    <t>Rayong Province</t>
  </si>
  <si>
    <t>SNC Former Public Co., Ltd.</t>
  </si>
  <si>
    <t xml:space="preserve">https://www.jcm.go.jp/projects/48 </t>
  </si>
  <si>
    <t>Status: Project registered 14 January 2019</t>
  </si>
  <si>
    <t>Energy Saving for Semiconductor Factory with High Efficiency Centrifugal Chiller and Compressor</t>
  </si>
  <si>
    <t>Pathumthani</t>
  </si>
  <si>
    <t>Sony Device Technology (Thailand) Co., Ltd.</t>
  </si>
  <si>
    <t>Sony Semiconductor Manufacturing Corporation</t>
  </si>
  <si>
    <t xml:space="preserve">https://www.jcm.go.jp/projects/45 </t>
  </si>
  <si>
    <t>Status: Project registered 20 April 2018</t>
  </si>
  <si>
    <t>Installation of High Efficiency Air Conditioning System and Chillers in Semiconductor Factory</t>
  </si>
  <si>
    <t xml:space="preserve">https://www.jcm.go.jp/projects/44 </t>
  </si>
  <si>
    <t>Reducing GHG emission at Textile Factory of Luckytex (Thailand) Public Company Limited by Upgrading to Air-saving Loom</t>
  </si>
  <si>
    <t>Samutprakarn</t>
  </si>
  <si>
    <t>Textiles</t>
  </si>
  <si>
    <t>Toray Textiles (Thailand) Public Company Limited</t>
  </si>
  <si>
    <t>Toray Industries, Inc.</t>
  </si>
  <si>
    <t>https://www.jcm.go.jp/projects/43</t>
  </si>
  <si>
    <t>Introduction of Solar PV Systems on Rooftops of Factory and Office Building</t>
  </si>
  <si>
    <t>Siam Steel International Public Company Limited</t>
  </si>
  <si>
    <t>Pacific Consultants Co., Ltd. (PCKK)</t>
  </si>
  <si>
    <t>https://www.jcm.go.jp/projects/28</t>
  </si>
  <si>
    <t>Status: Project registered 21 August 2017</t>
  </si>
  <si>
    <t>Introduction of High Efficiency Electrolyzer in Chlor-Alkali Production Plant</t>
  </si>
  <si>
    <t>Saudi Arabia</t>
  </si>
  <si>
    <t>Eastern Province</t>
  </si>
  <si>
    <t>Jubail Chemical Industries Company (JANA)</t>
  </si>
  <si>
    <t>Kanematsu Corporation</t>
  </si>
  <si>
    <t>https://www.jcm.go.jp/projects/41</t>
  </si>
  <si>
    <t>Status: Project registered 13 July 2018</t>
  </si>
  <si>
    <t>Palau / Introduction of 1MW Solar Power System on Supermarket Rooftop</t>
  </si>
  <si>
    <t>Palau</t>
  </si>
  <si>
    <t>Airai State</t>
  </si>
  <si>
    <t>Surangel &amp; Sons Company</t>
  </si>
  <si>
    <t xml:space="preserve">	Sharp Energy Solutions Corporation</t>
  </si>
  <si>
    <t>https://www.jcm.go.jp/projects/97</t>
  </si>
  <si>
    <t>Introduction of 0.4MW Rooftop Solar Power System in Supermarket and Hotel</t>
  </si>
  <si>
    <t>Koror State</t>
  </si>
  <si>
    <t>Western Caroline Trading Company (WCTC)</t>
  </si>
  <si>
    <t>https://www.jcm.go.jp/projects/75</t>
  </si>
  <si>
    <t>Status: Project registered 11 July 2021</t>
  </si>
  <si>
    <t>Small Scale Solar Power Plants for Commercial Facilities in Island States II</t>
  </si>
  <si>
    <t>Western Caroline Trading Company (Subproject 1, 2); Palau Investment and Development Company (Subproject 3)</t>
  </si>
  <si>
    <t>https://www.jcm.go.jp/projects/14</t>
  </si>
  <si>
    <t>Status: Project registered 12 July 2016</t>
  </si>
  <si>
    <t>Small Scale Solar Power Plants for Schools in Island States</t>
  </si>
  <si>
    <t>Site A: Koror State; Site B: Airai State</t>
  </si>
  <si>
    <t>Palau Adventist Schools</t>
  </si>
  <si>
    <t xml:space="preserve">	Pacific Consultants Co., Ltd. (PCKK)</t>
  </si>
  <si>
    <t>https://www.jcm.go.jp/projects/13</t>
  </si>
  <si>
    <t>Small scale solar power plants for commercial facilities in island states</t>
  </si>
  <si>
    <t>Subproject 1: Western Caroline Trading Company, Subproject 2: Surangel and Sons Company</t>
  </si>
  <si>
    <t>https://www.jcm.go.jp/projects/4</t>
  </si>
  <si>
    <t>Status: Project registered 21 April 2015</t>
  </si>
  <si>
    <t>Introduction of 1MW Rooftop Solar Power System in Vehicle Assembly Factory</t>
  </si>
  <si>
    <t>Philippines</t>
  </si>
  <si>
    <t>Laguna</t>
  </si>
  <si>
    <t>Toyota Motor Philippines Corporation</t>
  </si>
  <si>
    <t xml:space="preserve">https://www.jcm.go.jp/projects/87 </t>
  </si>
  <si>
    <t>Status: Project registered 9 April 2023</t>
  </si>
  <si>
    <t>Installation of 1.2MW Rooftop Solar Power System in Freezing Warehouse
Ref No. PH003</t>
  </si>
  <si>
    <t>Western Bicutan</t>
  </si>
  <si>
    <t>TMU Solar Philippines Inc.</t>
  </si>
  <si>
    <t>Tokyo Century Corporation</t>
  </si>
  <si>
    <t>https://www.jcm.go.jp/projects/86</t>
  </si>
  <si>
    <t>Status: Project registered 4 November 2021</t>
  </si>
  <si>
    <t>Introduction of 1.53MW Rooftop Solar Power System in Auto Parts Factories</t>
  </si>
  <si>
    <t>PEZA-Gateway Business Park Javalera, Gen; API: First Philippine Industrial Park, SEZ, Brgy. Sta. Anastacia, Sto. Tomas</t>
  </si>
  <si>
    <t>Enomoto Philippine Manufacturing Inc. (EPMI); Aikawa Philippines Inc. (API)</t>
  </si>
  <si>
    <t>https://www.jcm.go.jp/projects/85</t>
  </si>
  <si>
    <t>Introduction of 4 MW Rooftop Solar Power System in Tire Factory</t>
  </si>
  <si>
    <t>Pampanga</t>
  </si>
  <si>
    <t>Yokohama Tire Philippines Inc.</t>
  </si>
  <si>
    <t>https://www.jcm.go.jp/projects/84</t>
  </si>
  <si>
    <t>Solar Power on Rooftop of School Building Project</t>
  </si>
  <si>
    <t>Maldives</t>
  </si>
  <si>
    <t>Male City</t>
  </si>
  <si>
    <t>Villa Educational Services Private Ltd.</t>
  </si>
  <si>
    <t>Pacific Consultants Co., Ltd.</t>
  </si>
  <si>
    <t>https://www.jcm.go.jp/projects/47</t>
  </si>
  <si>
    <t>Status: Project registered 15 July 2018</t>
  </si>
  <si>
    <t>Introduction of Smart Mini Grid System at Addu City</t>
  </si>
  <si>
    <t>Addu city</t>
  </si>
  <si>
    <t>Fenaka Corporation Limited; Ministry of Environment, Climate Change and Technology</t>
  </si>
  <si>
    <t xml:space="preserve">https://www.jcm.go.jp/mv-jp/projects/108 </t>
  </si>
  <si>
    <t>Status: Vaidation</t>
  </si>
  <si>
    <t>Introduction of 15MW Solar Power System near New Airport</t>
  </si>
  <si>
    <t>Mongolia</t>
  </si>
  <si>
    <t>Töv Province / Sergelen District</t>
  </si>
  <si>
    <t>Tenuun Gerel Construction LLC</t>
  </si>
  <si>
    <t>https://www.jcm.go.jp/projects/89</t>
  </si>
  <si>
    <t>Status: Project registered 2 June 2023</t>
  </si>
  <si>
    <t>A HIGH EFFICIENCY AND LOW LOSS POWER TRANSMISSION AND DISTRIBUTION SYSTEM IN MONGOLIA</t>
  </si>
  <si>
    <t>Ömnögovi and Dornogovi provinces</t>
  </si>
  <si>
    <t>NATIONAL POWER TRANSMISSION GRID State Owned Stock Company (NPTG)</t>
  </si>
  <si>
    <t>https://www.jcm.go.jp/projects/27</t>
  </si>
  <si>
    <t>Status: Project registered 16 November 2017</t>
  </si>
  <si>
    <t>10MW Solar Power Project in Darkhan City</t>
  </si>
  <si>
    <t>Darkhan-Uul Province</t>
  </si>
  <si>
    <t>Solar Power International LLC</t>
  </si>
  <si>
    <t>Sharp Energy Solutions Corporation (formerly Sharp Corporation)</t>
  </si>
  <si>
    <t>https://www.jcm.go.jp/projects/22</t>
  </si>
  <si>
    <t>Status: Project registered 26 May 2017</t>
  </si>
  <si>
    <t>Installation of 12.7 MW Solar Power Plant for Power Supply In Ulaanbaatar Suburb</t>
  </si>
  <si>
    <t>Ulaanbaatar, Songinokhairkhan district</t>
  </si>
  <si>
    <t>FARMDO CORPORATION</t>
  </si>
  <si>
    <t>https://www.jcm.go.jp/projects/21</t>
  </si>
  <si>
    <t>Centralization of heat supply system by installation of high-efficiency Heat Only Boilers in Bornuur soum Project</t>
  </si>
  <si>
    <t>Tuv aimag</t>
  </si>
  <si>
    <t>ANU-SERVICE CO.,LTD</t>
  </si>
  <si>
    <t>SUURI-KEIKAKU CO.,LTD.</t>
  </si>
  <si>
    <t>https://www.jcm.go.jp/projects/6</t>
  </si>
  <si>
    <t>Status: Project registered 30 June 2015</t>
  </si>
  <si>
    <t>Installation of high-efficiency Heat Only Boilers in 118th School of Ulaanbaatar City Project</t>
  </si>
  <si>
    <t>Ulaanbaatar City</t>
  </si>
  <si>
    <t>https://www.jcm.go.jp/projects/5</t>
  </si>
  <si>
    <t>Yangon Waste to Energy plant by introducing power generation and avoidance of landfill gas emissions through combustion of municipal solid waste (MSW)</t>
  </si>
  <si>
    <t>Myanmar</t>
  </si>
  <si>
    <t>Yangon Region</t>
  </si>
  <si>
    <t>Landfill power</t>
  </si>
  <si>
    <t>Yangon City Development Committee</t>
  </si>
  <si>
    <t>JFE Engineering Corporation</t>
  </si>
  <si>
    <t>https://www.jcm.go.jp/projects/56</t>
  </si>
  <si>
    <t xml:space="preserve">	Introduction of Energy Efficient Refrigeration System in Logistics Center</t>
  </si>
  <si>
    <t>Yangon</t>
  </si>
  <si>
    <t>Ryobi Myanmar Distribution Service Co., Ltd</t>
  </si>
  <si>
    <t xml:space="preserve">https://www.jcm.go.jp/mm-jp/projects/80 </t>
  </si>
  <si>
    <t>Status: Project registered 16 January 2020</t>
  </si>
  <si>
    <t>Introduction of Amorphous High Efficiency Transformers in Power Grid</t>
  </si>
  <si>
    <t>Region/State/Province etc. corresponds to the location of the headquarters of EDL. Vientiane Capital</t>
  </si>
  <si>
    <t>EDL (Electricite Du Laos)</t>
  </si>
  <si>
    <t>https://www.jcm.go.jp/projects/112</t>
  </si>
  <si>
    <t>Status: Project registered 24 May 2023</t>
  </si>
  <si>
    <t xml:space="preserve">	Introduction of 11MW Solar Power Project in Savannakhet Province</t>
  </si>
  <si>
    <t>Savannakhet Province</t>
  </si>
  <si>
    <t>Khounxay Construction Development Group Sole Co., Ltd (KXN); Green Energy Laos Development Co., Ltd (GLD)</t>
  </si>
  <si>
    <t>Sharp Energy Solutions Corporation (SESJ)</t>
  </si>
  <si>
    <t>https://www.jcm.go.jp/projects/98</t>
  </si>
  <si>
    <t>Status: Project registered 22 June 2022</t>
  </si>
  <si>
    <t>Introduction of 14MW floating solar power system in Vientiane</t>
  </si>
  <si>
    <t>Vientiane Capital District</t>
  </si>
  <si>
    <t>TPG Lao Co., Ltd.</t>
  </si>
  <si>
    <t>https://www.jcm.go.jp/projects/90</t>
  </si>
  <si>
    <t>Status: Project registered 5 August 2022</t>
  </si>
  <si>
    <t>Lao PDR Energy Efficient Datacenter Project (LEED)</t>
  </si>
  <si>
    <t>Vientiane Capital</t>
  </si>
  <si>
    <t>EE commercial buildings</t>
  </si>
  <si>
    <t>Government of Japan. New Energy and Industrial Technology Development Organisation</t>
  </si>
  <si>
    <t>Ministry of Science and Technology, Lao P.D.R</t>
  </si>
  <si>
    <t>Toyota Tsusho Corporation; Internet Initiative Japan Inc.; Mitsubishi UFJ Morgan Stanley Securities Co., Ltd.</t>
  </si>
  <si>
    <t>https://www.jcm.go.jp/projects/18</t>
  </si>
  <si>
    <t>Status: Project registered 31 July 2017</t>
  </si>
  <si>
    <t>Prey Lang Wildlife Sanctuary - Stung Treng REDD+ project</t>
  </si>
  <si>
    <t>Cambodia</t>
  </si>
  <si>
    <t>Siem Bouk and Thala Barivat districts, Stung Treng Province</t>
  </si>
  <si>
    <t>Afforestation</t>
  </si>
  <si>
    <t>The project is implemented by financial support from a Japanese company, Mitsui &amp; Co., Ltd</t>
  </si>
  <si>
    <t>Ministry of Environment, Cambodia</t>
  </si>
  <si>
    <t>Mitsui &amp; Co., Ltd.</t>
  </si>
  <si>
    <t>https://www.jcm.go.jp/kh-jp/projects/92</t>
  </si>
  <si>
    <t>Status: Project registered 9 June 2023</t>
  </si>
  <si>
    <t>Energy Saving by Inverters for Distribution Pumps in Water Treatment Plant</t>
  </si>
  <si>
    <t>Phnom Penh</t>
  </si>
  <si>
    <t>The proposed project was partially supported by the Ministry of the Environment, Japan 
(MOEJ) through the Financing Programme for JCM Model Projects, which provided financial 
support of less than half of the initial investment for the projects in order to acquire JCM 
credits.</t>
  </si>
  <si>
    <t>Phnom Penh Water Supply Authority (PPWSA)</t>
  </si>
  <si>
    <t>METAWATER Co., Ltd.</t>
  </si>
  <si>
    <t xml:space="preserve">https://www.jcm.go.jp/kh-jp/projects/83 </t>
  </si>
  <si>
    <t>Introduction of High Efficiency LED Lighting Utilizing Wireless Network</t>
  </si>
  <si>
    <t>(1) Phnom Penh; (2) Phnom Penh; (3) Siem Reap; (4) Siem Reap</t>
  </si>
  <si>
    <t>Street Lighting</t>
  </si>
  <si>
    <t>(1) Overseas Cambodian Investment Corporation (OCIC); (2) Authority for the Protection of the Site and the Management of the Region of Angkor (APSARA Authority); (3) Siem Reap Provincial Hall</t>
  </si>
  <si>
    <t>https://www.jcm.go.jp/projects/66</t>
  </si>
  <si>
    <t>Status: Project registered 21 February 2020</t>
  </si>
  <si>
    <t>Introduction of Ultra-lightweight Solar Panels for Power Generation at International School</t>
  </si>
  <si>
    <t>International School of Phnom Penh (ISPP).</t>
  </si>
  <si>
    <t>The proposed project was partially supported by the Ministry of the Environment, Japan (MOEJ) through the Financing Programme for JCM Model projects, which provided financial support of less than half of the initial investment for the projects in order to acquire JCM credits.</t>
  </si>
  <si>
    <t xml:space="preserve">	International School of Phnom Penh (ISPP).</t>
  </si>
  <si>
    <t>Asian Gateway Corp.</t>
  </si>
  <si>
    <t>https://www.jcm.go.jp/kh-jp/projects/30</t>
  </si>
  <si>
    <t>Status: Project registered 12 March 2018</t>
  </si>
  <si>
    <t>Introduction of 1MW Solar Power System and High Efficiency Centrifugal Chiller in Large Shopping Mall</t>
  </si>
  <si>
    <t>The proposed project was partially supported by the Ministry of the Environment, Japan (MOEJ) through the financing program for JCM model projects, which provided financial support of less than half of the initial investment for the projects in order to acquire JCM credits.</t>
  </si>
  <si>
    <t>AEON MALL (CAMBODIA) CO., LTD.</t>
  </si>
  <si>
    <t>AEON Mall Co., Ltd.</t>
  </si>
  <si>
    <t xml:space="preserve">https://www.jcm.go.jp/kh-jp/projects/81 </t>
  </si>
  <si>
    <t>Introduction of Solar PV System at Salt Factory</t>
  </si>
  <si>
    <t>Kenya</t>
  </si>
  <si>
    <t>Kilifi County</t>
  </si>
  <si>
    <t xml:space="preserve">The proposed project was partially supported by the Ministry of the Environment, Japan through the Financing Programme for JCM Model projects, which provided financial support of less than half of the initial investment for the projects in order to acquire JCM credits. </t>
  </si>
  <si>
    <t>Krystalline Salt Limited</t>
  </si>
  <si>
    <t>https://www.jcm.go.jp/ke-jp/projects/31</t>
  </si>
  <si>
    <t>Status: Project registered 27 Jan 2020</t>
  </si>
  <si>
    <t>Electrification of communities using Ultra Low Head Micro Hydro Power Generation system</t>
  </si>
  <si>
    <t>Kirinyaga County</t>
  </si>
  <si>
    <t>Hydro</t>
  </si>
  <si>
    <t>The state-of-the-art technology of ULH-MHP which was developed by the Japanese project participant, JAG Seabell Co., Ltd. was introduced in the proposed project. The Japanese project participant transfers the technology through training to the Kenyan project participant. LCET programme which was funded by Ministry of Economy, Trade and Industry, Japan and executed by UNIDO provided all the initial cost to install ULH-MHP</t>
  </si>
  <si>
    <t>National Irrigation Board; Mwea Irrigation Water users’ Association</t>
  </si>
  <si>
    <t>NTT DATA INSTITUTE OF MANAGEMENT CONSULTING, Inc.; JAG SeabellCo.,Ltd.</t>
  </si>
  <si>
    <t>https://www.jcm.go.jp/ke-jp/projects/25</t>
  </si>
  <si>
    <t>Introduction of CNG-Diesel Hybrid Equipment to Public Bus in Semarang</t>
  </si>
  <si>
    <t>Indonesia</t>
  </si>
  <si>
    <t>Central Java</t>
  </si>
  <si>
    <t>BLU UPTD Trans Semarang</t>
  </si>
  <si>
    <t>Hokusan Co., Ltd.</t>
  </si>
  <si>
    <t>https://www.jcm.go.jp/id-jp/projects/113</t>
  </si>
  <si>
    <t>Installation of Aerator for Industrial Wastewater Treatment Facility in Rubber Factory</t>
  </si>
  <si>
    <t>South Sumatra Province</t>
  </si>
  <si>
    <t>PT.ANEKA BUMI PRATAMA (PT.ABP)</t>
  </si>
  <si>
    <t>Environmental Management and Technology Center (EMATEC)</t>
  </si>
  <si>
    <t>https://www.jcm.go.jp/id-jp/projects/110</t>
  </si>
  <si>
    <t>Installation of all-electric injection molding machine with power regeneration to plastics &amp; packaging manufacturing plants</t>
  </si>
  <si>
    <t>Project location 1. Bogor, Jawa Barat 16820; Project location 2. Bogor, Jawa Barat 16964; Project location 3. Kota Tangerang, Banten 15135; Project location 4. Sidoarjo 61256, East Java; Project location 5. Pasuruan, Jawa Timur 67161; Project location 6. Bekasi, Jawa Barat 17530; Project location 7. Bekasi, Jawa Barat 17530</t>
  </si>
  <si>
    <t>The proposed project was partially supported by the Ministry of the Environment, Japan (MOEJ) through the financing programme for JCM model projects, which provided financial support of less than half of the initial investment for the projects in order to acquire JCM credits. Further, implementation of the proposed project promotes diffusion of low carbon technology within Indonesia.</t>
  </si>
  <si>
    <t>PT Dynaplast; Project location 1. Dynaplast; Project location 2. Sanpak Unggul; Project location 3. Dynaplast Jatake; Project location 4. Rapidplast Plant2; Project location 5. Rapidplast Plant4; Project location 6. Dynaplast Plant8; Project location 7. Dynaplast 4</t>
  </si>
  <si>
    <t>https://www.jcm.go.jp/id-jp/projects/109</t>
  </si>
  <si>
    <t>Energy Saving by Introducing High Efficiency Autoclave to Infusion Manufacturing Factory</t>
  </si>
  <si>
    <t>East Java Province</t>
  </si>
  <si>
    <t>The proposed project was partially supported by the Ministry of the Environment, Japan (MOEJ) through the financing programme for JCM model projects, which provided financial support of less than half of the initial investment for the projects in order to acquire JCM credits. Furthermore, implementation of the proposed project promotes transfer of low carbon technologies in Indonesia. The proposed JCM project also provides local staff with a technical training for maintenance skill.</t>
  </si>
  <si>
    <t>PT. Otsuka Indonesia</t>
  </si>
  <si>
    <t>Otsuka Pharmaceutical Factory, Inc.</t>
  </si>
  <si>
    <t>https://www.jcm.go.jp/id-jp/projects/99</t>
  </si>
  <si>
    <t>Introduction of Gas Co-generation System and Absorption Chiller to Motor Parts Factory</t>
  </si>
  <si>
    <t>West Java Province</t>
  </si>
  <si>
    <t>PT. DENSO Indonesia</t>
  </si>
  <si>
    <t>DENSO CORPORATION</t>
  </si>
  <si>
    <t>https://www.jcm.go.jp/id-jp/projects/93</t>
  </si>
  <si>
    <t>10MW Mini Hydro Power Plant Project in North Sumatra</t>
  </si>
  <si>
    <t>Humbang Hasundutan / North Sumatra</t>
  </si>
  <si>
    <t>The proposed project was partially supported by the Ministry of the Environment, Japan (MOEJ) through the Financing Programme for JCM Model Projects, which provided financial support of lessthan half of the initial investment for the projectsin order to acquire JCM credits. Inspection standards and methods for water turbine liners, the technical core of hydropower generation, were taught to CME and local EPC contractor in the joint meeting in July 2019.</t>
  </si>
  <si>
    <t>PT. Citra Multi Energi</t>
  </si>
  <si>
    <t>TOYO ENERGY FARM CO., LTD.</t>
  </si>
  <si>
    <t>https://www.jcm.go.jp/id-jp/projects/88</t>
  </si>
  <si>
    <t>Status: Request for registration</t>
  </si>
  <si>
    <t>Introduction of LED Lighting to UNIQLO Sales Stores</t>
  </si>
  <si>
    <t>Store 1: Jakarta Special Capital Region; Store 2: Jakarta Special Capital Region; Store 3: Jakarta Special Capital Region; Store 4: West Java Province; Store 5: North Sumatra Province; Store 6: Jakarta Special Capital Region; Store 7: Special Region of Yogyakart; Store 8: South Sulawesi Province; Store 9: Jakarta Special Capital Region; Store 10: Bali Province; Store 11: West Java Province</t>
  </si>
  <si>
    <t>The proposed project was partially supported by the Ministry of the Environment, Japan through the Financing Program for JCM Model Projects, which provided financial support of less than half of the initial investment for the projects in order to acquire JCM credits.</t>
  </si>
  <si>
    <t>PT. Fast Retailing Indonesia</t>
  </si>
  <si>
    <t>FAST RETAILING CO., LTD.</t>
  </si>
  <si>
    <t>https://www.jcm.go.jp/id-jp/projects/82</t>
  </si>
  <si>
    <t>Energy Saving for Industrial Park with Smart LED Street Lighting System</t>
  </si>
  <si>
    <t>Jawa Barat</t>
  </si>
  <si>
    <t>The proposed JCM Project was partially supported by the Ministry of Environment, Japan through the financing programme for JCM model projects, which provided financial support up to 50% of initial investment for the projects in order to acquire JCM credits.</t>
  </si>
  <si>
    <t>PT. MALIGI PERMATA INDUSTRIAL ESTATE; PT. HARAPAN ANANG BAKRI &amp; SONS; PT. KARAWANG TATABINA INDUSTRIAL ESTATE</t>
  </si>
  <si>
    <t>NTT FACILITIES, INC.</t>
  </si>
  <si>
    <t xml:space="preserve">https://www.jcm.go.jp/id-jp/projects/79 </t>
  </si>
  <si>
    <t>Introduction of Absorption Chiller to Chemical Factory</t>
  </si>
  <si>
    <t>Karawang Regency, West Java Province</t>
  </si>
  <si>
    <t xml:space="preserve">The proposed project was partially supported by the Ministry of the Environment, Japan (MOEJ) through the financing programme for JCM model projects, which provided financial support of less than half of the initial investment for the projects in order to acquire JCM credits. Further, implementation of the proposed project promotes diffusion of low carbon technology within Indonesia. </t>
  </si>
  <si>
    <t>PT. Timuraya Tunggal</t>
  </si>
  <si>
    <t xml:space="preserve">	Tokyo Century Corporation</t>
  </si>
  <si>
    <t xml:space="preserve">https://www.jcm.go.jp/id-jp/projects/73 </t>
  </si>
  <si>
    <t>Status: Project registered 30 March 2020</t>
  </si>
  <si>
    <t>Installation of Solar Power System and Storage Battery to Commercial Facility</t>
  </si>
  <si>
    <t>Jakarta Capital Special Region</t>
  </si>
  <si>
    <t xml:space="preserve">The proposed Project was partially supported by the Ministry of Environment, Japan (MOEJ) through the Financing Program for JCM Model projects, which provide the financial support of less than half of the initial investment for projects in order to acquire JCM credits. The facility is introduced at the project site by the Japanese project participant. The Japanese project participant transferred the technology through conducting training on operation and maintenance at the time of trial operation. </t>
  </si>
  <si>
    <t>PT AEON MALL Indonesia</t>
  </si>
  <si>
    <t>ITOCHU Corporation</t>
  </si>
  <si>
    <t xml:space="preserve">https://www.jcm.go.jp/id-jp/projects/72 </t>
  </si>
  <si>
    <t>Status: Project registered 17 February 2021</t>
  </si>
  <si>
    <t>Introduction of High Efficiency Once-through Boiler in Golf Ball Factory</t>
  </si>
  <si>
    <t xml:space="preserve">The proposed Project was partially supported by the Ministry of Environment, Japan (MOEJ) through the financing programme for JCM model projects, which provided financial support of less than half of the initial investment for the projects in order to acquire JCM credits. As for technology transfer, Kawasaki Thermal Engineering Co., Ltd. (KTE) has provided the following supports to PT Sumi Rubber Indonesia during commissioning test in the factory in Karawang Regency (16/06/16). 
 Direct instruction on proper operation of once-through boiler to boiler operators 
 Effective periodical checks to maintain efficiency of the boiler (explanation by the staff of boiler manufacturer using maintenance manual) </t>
  </si>
  <si>
    <t>PT Sumi Rubber Indonesia</t>
  </si>
  <si>
    <t>Karawang Regency</t>
  </si>
  <si>
    <t>https://www.jcm.go.jp/id-jp/projects/63</t>
  </si>
  <si>
    <t>Status: Project registered 3 September 2019</t>
  </si>
  <si>
    <t>Introduction of High-efficiency Once-through Boiler in Film Factory</t>
  </si>
  <si>
    <t>Banten</t>
  </si>
  <si>
    <t xml:space="preserve">The proposed project was partially supported by the Ministry of Environment, Japan (MOEJ) through the financing programme for JCM model projects, which provided financial support of less than half of the initial investment for the projects in order to acquire JCM credits. As for technology transfer, Kawasaki Thermal Engineering (KTE) has provided the following  supports to MC Pet Film during commissioning test in Cilegon Factory (31/08/16). 
 Direct instruction on proper operation of once-through boiler to boiler operators 
 Effective periodical checks to maintain efficiency of the boiler (explanation by the staff of boiler manufacturer using maintenance manual) </t>
  </si>
  <si>
    <t>PT MC Pet Film Indonesia</t>
  </si>
  <si>
    <t>Mitsubishi Chemical Corporation; Nippon Koei Co., Ltd.</t>
  </si>
  <si>
    <t xml:space="preserve">https://www.jcm.go.jp/id-jp/projects/62 </t>
  </si>
  <si>
    <t>Status: Project registered 31 October 2019</t>
  </si>
  <si>
    <t>Introduction of High-Efficiency Looms in Weaving Mill</t>
  </si>
  <si>
    <t>The proposed project was partially supported by the Ministry of the Environment, Japan (MOEJ) through the Financing Programme for JCM Model projects, which provided financial support of less than half of the initial investment for the projects in order to acquire JCM credits. Further, implementation of the proposed project promotes diffusion of low carbon technology within Indonesia.</t>
  </si>
  <si>
    <t>PT Nikawa Textile Industry</t>
  </si>
  <si>
    <t>Nisshinbo Textile Inc.</t>
  </si>
  <si>
    <t xml:space="preserve">https://www.jcm.go.jp/id-jp/projects/58 </t>
  </si>
  <si>
    <t>Installation of gas engine cogeneration system to supply electricity and heat to the vehicle manufacturing factory of PT. Toyota Motor Manufacturing Indonesia</t>
  </si>
  <si>
    <t>Jawa Barat 41361</t>
  </si>
  <si>
    <t>The proposed project was partially supported by the Ministry of the Environment, Japan (MOEJ) through the Financing Programme for JCM Model projects, which provided financial support of less than half of the initial investment for the projects in order to acquire JCM credits</t>
  </si>
  <si>
    <t>PT. Toyota Motor Manufacturing Indonesia</t>
  </si>
  <si>
    <t>Toyota Tsusho Corporation</t>
  </si>
  <si>
    <t xml:space="preserve">https://www.jcm.go.jp/id-jp/projects/57 </t>
  </si>
  <si>
    <t>Status: Project registered 9 May 2019</t>
  </si>
  <si>
    <t>1.6MW Solar PV Power Plant Project in Jakabaring Sport City</t>
  </si>
  <si>
    <t>South Sumatra</t>
  </si>
  <si>
    <t>Perusahaan Daerah Pertambangan Dan Energi (PDPDE)</t>
  </si>
  <si>
    <t>https://www.jcm.go.jp/id-jp/projects/51</t>
  </si>
  <si>
    <t>Status: Project registered 7 March 2019</t>
  </si>
  <si>
    <t>Introduction of 0.5MW Solar Power System to Aroma and Food Ingredients Factory</t>
  </si>
  <si>
    <t>Bogor Regency, West Java Province</t>
  </si>
  <si>
    <t>The project has been selected as one of the JCM model projects by the Ministry of the Environment, Japan (MOEJ). As a result, the initial investment cost of the proposed project has been partially financed by Japanese government (up to 50% of the initial investment cost). Further, implementation of the proposed project promotes technology transfer of low carbon power generation technologies within Indonesia. Through the MOEJ program, know-hows on operation and monitoring of solar power generation are transferred to the project sites.</t>
  </si>
  <si>
    <t>PT. Indesso Aroma</t>
  </si>
  <si>
    <t>Next Energy and Resources Co., Ltd.</t>
  </si>
  <si>
    <t>https://www.jcm.go.jp/id-jp/projects/50</t>
  </si>
  <si>
    <t>Installation of Tribrid System to mobile communication’s Base Transceiver Stations in Republic of Indonesia</t>
  </si>
  <si>
    <t>Java island, Sumatra island, Riau islands, and Kalimantan island</t>
  </si>
  <si>
    <t>The proposed project receives financial support from the government of Japan. The project has been selected as one of the JCM demonstration projects by the New Energy and Industrial Technology Development Organization (NEDO). As a result of the financial support provided by NEDO’s program, implementation cost of the proposed project has been partially financed by Japanese government. Furthermore, implementation of the proposed project promotes
technology transfer of low carbon technologies in Indonesia. Through the NEDO program, operation of Tribrid System will be monitored during the project operation. During the construction, installation, and operation, KDDI will provide technical knowhow to the local operators in Indonesia.</t>
  </si>
  <si>
    <t>PT XL Axiata Tbk.</t>
  </si>
  <si>
    <t>KDDI Corporation</t>
  </si>
  <si>
    <t>https://www.jcm.go.jp/id-jp/projects/46</t>
  </si>
  <si>
    <t>Status: Project registered 10 July 2018</t>
  </si>
  <si>
    <t>Reducing GHG emission at textile factories by upgrading to air-saving loom</t>
  </si>
  <si>
    <t>P.T. Indonesia Synthetic Textile Milles (ISTEM): Tangerang Banten, P.T. Easterntex: East Java, P.T. Century Textile Industry Tbk (CENTEX): Jakarta</t>
  </si>
  <si>
    <t>The proposed project was partially supported by the Ministry of the Environment, Japan through the financing program for JCM model projects which provided financial support of less than half of the initial investment for the projects in order to acquire JCM credits. Apart from support from financing program for JCM model projects, the project was also financially supported by Japanese company. In terms of technology transfer, Toray Industrious has conducted OJT training and provided a manual on operation, maintenance and safety measures of the three factories during the installation of advanced air-saving looms.</t>
  </si>
  <si>
    <t>P.T. Indonesia Synthetic Textile Milles (ISTEM), P.T. Easterntex, P.T. Century Textile Industry Tbk (CENTEX)</t>
  </si>
  <si>
    <t xml:space="preserve">https://www.jcm.go.jp/id-jp/projects/42 </t>
  </si>
  <si>
    <t>Status: Project registered 24 August 2018</t>
  </si>
  <si>
    <t>Energy saving by optimum operation at an oil refinery</t>
  </si>
  <si>
    <t>East Kalimantan</t>
  </si>
  <si>
    <t>The proposed project receives financial support from the government of Japan. The project has been selected as one of the JCM demonstration projects by the New Energy and Industrial Technology Development Organization (NEDO), one of the largest public research and development management organization in Japan</t>
  </si>
  <si>
    <t>PT. PERTAMINA (PERSERO)</t>
  </si>
  <si>
    <t>Yokogawa Electric Corporation</t>
  </si>
  <si>
    <t>https://www.jcm.go.jp/id-jp/projects/40</t>
  </si>
  <si>
    <t>Power generation by waste heat recovery in the PT Semen Indonesia (Persero) Tbk factory in Tuban</t>
  </si>
  <si>
    <t>Ds. Sumberarum, Kec, Kerek</t>
  </si>
  <si>
    <t>The proposed JCM Project was partially supported by the Ministry of Environment, Japan through the financing programme for JCM model projects, which provided financial support of less than half of the initial investment for the projects in order to facilitate GHG emission reduction project in Indonesia and to acquire JCM credits.</t>
  </si>
  <si>
    <t>PT Semen Indonesia (Persero) Tbk</t>
  </si>
  <si>
    <t>https://www.jcm.go.jp/id-jp/projects/36</t>
  </si>
  <si>
    <t>GHG emission reductions through utility facility operation optimization system for refineries in the Republic of Indonesia</t>
  </si>
  <si>
    <t>Azbil Corporation</t>
  </si>
  <si>
    <t>https://www.jcm.go.jp/id-jp/projects/32</t>
  </si>
  <si>
    <t>Reduction of Energy Consumption by Introducing an Energy-Efficient Waste Paper Processing System into a Packaging Paper Factory in Bekasi, West Java</t>
  </si>
  <si>
    <t>Jawa Barat/ Bekasi</t>
  </si>
  <si>
    <t>The proposed project receives support from the government of Japan. The project has been selected as one of the JCM demonstration projects by the New Energy and Industrial Technology Development Organization (hereafter referred to as NEDO), one of the largest national public research and development management organizations in Japan.</t>
  </si>
  <si>
    <t>PT FAJAR SURYA WISESA Tbk.</t>
  </si>
  <si>
    <t>KANEMATSU CORPORATION</t>
  </si>
  <si>
    <t>https://www.jcm.go.jp/id-jp/projects/29</t>
  </si>
  <si>
    <t>Status: Project registered 22 December 2017</t>
  </si>
  <si>
    <t>Energy saving through introduction of Regenerative Burners for aluminum holding furnaces of the automotive components manufacture in the Republic of Indonesia</t>
  </si>
  <si>
    <t>The proposed JCM Project was partially supported by the Ministry of Environment, Japan through the financing programme for JCM model projects, which provided financial support of less than half of the initial investment for the projects in order to acquire JCM credits.</t>
  </si>
  <si>
    <t>PT. Yamaha Motor Parts Manufacturing Indonesia (YPMI)</t>
  </si>
  <si>
    <t>Toyotsu Machinery Corporation</t>
  </si>
  <si>
    <t>https://www.jcm.go.jp/id-jp/projects/24</t>
  </si>
  <si>
    <t>Energy Saving for Air-Conditioning at Shopping Mall with High Efficiency Centrifugal Chiller</t>
  </si>
  <si>
    <t>Jawa Timur</t>
  </si>
  <si>
    <t>PT. PAKUWON JATI Tbk</t>
  </si>
  <si>
    <t>https://www.jcm.go.jp/id-jp/projects/20</t>
  </si>
  <si>
    <t>Status: Project registered 4 December 2017</t>
  </si>
  <si>
    <t>Introducing double-bundle modular electric heat pumps at AXIA SOUTH CIKARANG Tower 2</t>
  </si>
  <si>
    <t>The proposed project receives financial support from the government of Japan. The project has been selected as one of the JCM model projects by the Ministry of the Environment, Japan (MOEJ).</t>
  </si>
  <si>
    <t>PT. TTL Residences</t>
  </si>
  <si>
    <t>https://www.jcm.go.jp/id-jp/projects/17</t>
  </si>
  <si>
    <t>Status: Project registered 10 February 2017</t>
  </si>
  <si>
    <t>PT. Yamaha Motor Parts Manufacturing Indonesia(YPMI)</t>
  </si>
  <si>
    <t>https://www.jcm.go.jp/id-jp/projects/16</t>
  </si>
  <si>
    <t>Installation of Inverter-type Air Conditioning System, LED Lighting and Separate Type Fridge Freezer Showcase to Grocery Stores in Republic of Indonesia</t>
  </si>
  <si>
    <t>Special Capital Region of Jakarta and its surrounding districts</t>
  </si>
  <si>
    <t>The proposed project was partially supported by the Ministry of the Environment, Japan through the financing program for JCM model projects which provided financial supports up to 50% of initial investment for the projects in order to acquire JCM credits. Apart from support from financing program for JCM model projects, the project was also financially supported by Japanese company.</t>
  </si>
  <si>
    <t>PT MIDI UTAMA INDONESIA Tbk</t>
  </si>
  <si>
    <t>Lawson, Inc.</t>
  </si>
  <si>
    <t>https://www.jcm.go.jp/id-jp/projects/11</t>
  </si>
  <si>
    <t>Status: Project registered 3 June 2016</t>
  </si>
  <si>
    <t>Energy Saving for Air-Conditioning at Textile Factory by Introducing High-efficiency Centrifugal Chiller in Batang, Central Java (Phase 2)</t>
  </si>
  <si>
    <t>Central Java Province</t>
  </si>
  <si>
    <t>The proposed project was financially supported by the Ministry of the Environment, Japan. through the financing programme for JCM model projects which seeks to acquire JCM credits.</t>
  </si>
  <si>
    <t>PT. Primatexco Indonesia</t>
  </si>
  <si>
    <t>Nippon Koei Co., Ltd. (Focal Point), Ebara Refrigeration Equipment &amp; Systems Co., Ltd.</t>
  </si>
  <si>
    <t>https://www.jcm.go.jp/id-jp/projects/10</t>
  </si>
  <si>
    <t>Status: Project registered 24 March 2016</t>
  </si>
  <si>
    <t>Energy Saving for Air-Conditioning at Textile Factory by Introducing High-efficiency Centrifugal Chiller in Karawang West Java</t>
  </si>
  <si>
    <t xml:space="preserve">The proposed project was financially supported by the Ministry of the Environment, Japan through the financing programme for JCM model project which seeks to acquire JCM credits. </t>
  </si>
  <si>
    <t>PT. Nikawa Textile Industry</t>
  </si>
  <si>
    <t>https://www.jcm.go.jp/id-jp/projects/9</t>
  </si>
  <si>
    <t>Project of Introducing High Efficiency Refrigerator to a Frozen Food Processing Plant in Indonesia</t>
  </si>
  <si>
    <t>The proposed project was partially supported by the Ministry of the Environment, Japan through the financing programme for JCM model projects which provided financial supports up to 50% of initial investment for the projects in order to acquire JCM credits.</t>
  </si>
  <si>
    <t>PT. Adib Global Food Supplies, PT. Mayekawa Indonesia</t>
  </si>
  <si>
    <t>MAYEKAWA MFG. CO., LTD.</t>
  </si>
  <si>
    <t>https://www.jcm.go.jp/id-jp/projects/3</t>
  </si>
  <si>
    <t>Status: Project registered 29 March 2015</t>
  </si>
  <si>
    <t>Project of Introducing High Efficiency Refrigerator to a Food Industry Cold Storage in Indonesia</t>
  </si>
  <si>
    <t>https://www.jcm.go.jp/id-jp/projects/2</t>
  </si>
  <si>
    <t>Energy Saving for Air-Conditioning and Process Cooling by Introducing High-efficiency Centrifugal Chiller</t>
  </si>
  <si>
    <t>The proposed project was financially supported by the Ministry of the Environment, Japan through the financing programme for JCM model projects which seeks to acquire JCM credits.</t>
  </si>
  <si>
    <t>https://www.jcm.go.jp/id-jp/projects/1</t>
  </si>
  <si>
    <t>Status: Project registered 31 October 2014</t>
  </si>
  <si>
    <t>3MW Solar Power Project in Chillan, Nuble Region</t>
  </si>
  <si>
    <t>Chile</t>
  </si>
  <si>
    <t>Nuble Region</t>
  </si>
  <si>
    <t>The proposed project was partially supported by the Ministry of the Environment, Japan (MOEJ) through the Financing Programme for JCM Model projects, which provided financial support of less than half of the initial investment for the project in order to acquire JCM credits</t>
  </si>
  <si>
    <t>Land and Sea SpA; Farmdo Energy Chile SpA</t>
  </si>
  <si>
    <t>FARMLAND Co., Ltd.</t>
  </si>
  <si>
    <t>https://www.jcm.go.jp/cl-jp/projects/102</t>
  </si>
  <si>
    <t>Status: Project registered 8 August 2022</t>
  </si>
  <si>
    <t>Introduction of 1MW Rooftop Solar Power Systems to University</t>
  </si>
  <si>
    <t>San Joaquin, Santiago; Valparaiso; Vina del Mar; Vitacura, Santiago</t>
  </si>
  <si>
    <t>The proposed project was partially supported by the Ministry of the Environment, Japan (MOEJ) through the Financing Programme for JCM Model projects, which provided financial support of less than half of the initial investment for the project in order to acquire JCM credits. Implementation of the proposed project also promotes transfer of low carbon technologies in Chile.</t>
  </si>
  <si>
    <t>MGM Innova Capital Chile SpA; Universidad Técnica Federico Santa María</t>
  </si>
  <si>
    <t>Waseda Environmental Institute; NTT DATA INSTITUTE OF MANAGEMENT CONSULTING,Inc.</t>
  </si>
  <si>
    <t>https://www.jcm.go.jp/cl-jp/projects/61</t>
  </si>
  <si>
    <t>Status: Project registered 8 October 2019</t>
  </si>
  <si>
    <t>Introduction of High Efficiency Centrifugal Chiller and Electric Heat Pump Type Water Heater in Hotel</t>
  </si>
  <si>
    <t>Costa Rica</t>
  </si>
  <si>
    <t>Asuncion de Belen</t>
  </si>
  <si>
    <t>MGM Sustainable Energy Limitada; Hotelera Bonanza S.A.</t>
  </si>
  <si>
    <t>https://www.jcm.go.jp/cr-jp/projects/77</t>
  </si>
  <si>
    <t>5MW Solar Power Project in Belen</t>
  </si>
  <si>
    <t>Guanacasta Region</t>
  </si>
  <si>
    <t>The proposed project was partially supported by the Ministry of the Environment, Japan(MOEJ) through the Financing Programme for JCM Model projects, which provided financial support of less than half of the initial investment for the projects in order to acquire JCM credits.</t>
  </si>
  <si>
    <t>Generacion Solar Fotovoltaica Belen Sociedad Anonima Coope Guanacaste</t>
  </si>
  <si>
    <t>https://www.jcm.go.jp/cr-jp/projects/49</t>
  </si>
  <si>
    <t>Status: Project registered 23 February 2020</t>
  </si>
  <si>
    <t>Introduction of PV-diesel Hybrid System at Fastening Manufacturing Plant</t>
  </si>
  <si>
    <t>Bangladesh</t>
  </si>
  <si>
    <t>Dhaka Division</t>
  </si>
  <si>
    <t>YKK Bangladesh Pte Ltd</t>
  </si>
  <si>
    <t>YKK Corporation</t>
  </si>
  <si>
    <t>https://www.jcm.go.jp/bd-jp/projects/39</t>
  </si>
  <si>
    <t>Status: Project registered 4 April 2019</t>
  </si>
  <si>
    <t>Installation of High Efficiency Loom at Weaving Factory</t>
  </si>
  <si>
    <t>Narshingdi</t>
  </si>
  <si>
    <t xml:space="preserve">The proposed project was partially supported by the Ministry of the Environment, Japan (MOEJ) through the financing programme for JCM Model projects, which provided financial support of less than half of the initial investment for the projects in order to acquire JCM credits. Further, implementation of the proposed project promotes technology transfer of low carbon technologies in Bangladesh as high efficiency air jet looms equipped with energy saving technologies are installed through the MOEJ’s programme,. </t>
  </si>
  <si>
    <t>Hamid Fabrics Limited</t>
  </si>
  <si>
    <t>https://www.jcm.go.jp/bd-jp/projects/38</t>
  </si>
  <si>
    <t>Installation of High Efficiency Centrifugal Chiller for Air Conditioning System in Clothing Tag Factory in Bangladesh</t>
  </si>
  <si>
    <t xml:space="preserve">The proposed JCM project was partially supported by the Ministry of the Environment, Japan through the financing programme for JCM model projects, which provided financial support of less than half of initial investment for the projects in order to acquire JCM credits. </t>
  </si>
  <si>
    <t>Next Accessories Ltd.</t>
  </si>
  <si>
    <t>Nippon Koei Co., Ltd. (Focal Point); Ebara Refrigeration Equipment &amp; Systems Co., Ltd.</t>
  </si>
  <si>
    <t>https://www.jcm.go.jp/bd-jp/projects/26</t>
  </si>
  <si>
    <t>Status: Project registered 10 January 2018</t>
  </si>
  <si>
    <t>Energy Saving for Air Conditioning &amp; Facility Cooling by High Efficiency Chiller (Dhaka Suburbs)</t>
  </si>
  <si>
    <t>City Sugar Industries Limited (Focal Point (2) )</t>
  </si>
  <si>
    <t>Nippon Koei Co., Ltd. (Focal Point (1) ); Ebara Refrigeration Equipment &amp; Systems Co., Ltd.</t>
  </si>
  <si>
    <t>https://www.jcm.go.jp/bd-jp/projects/19</t>
  </si>
  <si>
    <t>Bilateral Agreements on Article 6.2 of the Paris Agreement</t>
  </si>
  <si>
    <t>News title/Agreement title</t>
  </si>
  <si>
    <t>Host Country</t>
  </si>
  <si>
    <t>Buying Country</t>
  </si>
  <si>
    <t>Date</t>
  </si>
  <si>
    <t>Link</t>
  </si>
  <si>
    <t>Singapore and Ghana Substantively Conclude Negotiations on Implementation Agreement on Cooperative Approaches aligned with Article 6 of the Paris Agreement</t>
  </si>
  <si>
    <t>Singapore</t>
  </si>
  <si>
    <t>https://www.mse.gov.sg/resource-room/category/2022-11-15-media-release-singapore-and-ghana-implementation-agreement-article-6</t>
  </si>
  <si>
    <t>MOU Signing Ceremony with Papua New Guinea at the COP27 Singapore Pavilion - Ms Grace Fu</t>
  </si>
  <si>
    <t>Papua New Guinea</t>
  </si>
  <si>
    <t>https://www.mse.gov.sg/resource-room/category/2022-11-14-speech-by-minister-grace-fu-mou-signing-ceremony-papua-new-guinea</t>
  </si>
  <si>
    <t>MOU Signing Ceremony with Peru at the COP27 Singapore Pavilion - Ms Grace Fu</t>
  </si>
  <si>
    <t>https://www.mse.gov.sg/resource-room/category/2022-11-18-speech-by-minister-grace-fu-mou-signing-peru</t>
  </si>
  <si>
    <t>Singapore and Mongolia to Collaborate on Carbon Markets to Advance Climate Ambition</t>
  </si>
  <si>
    <t xml:space="preserve">https://www.mse.gov.sg/resource-room/category/2023-06-09-press-release-singapore-mongolia-mou-carbon-credits </t>
  </si>
  <si>
    <t>Singapore signs MoU with Colombia for Article 6-guided cooperation on carbon credits</t>
  </si>
  <si>
    <t>Colombia</t>
  </si>
  <si>
    <t xml:space="preserve">https://carbon-pulse.com/168359/ </t>
  </si>
  <si>
    <t>Morocco, Singapore Sign MoU on Cooperation under Paris Agreement's Article 6</t>
  </si>
  <si>
    <t xml:space="preserve">https://www.mapamazighe.ma/en/actualites/general/morocco-singapore-sign-mou-cooperation-under-paris-agreements-article-6 </t>
  </si>
  <si>
    <t>Singapore and Vietnam sign Memorandums of understanding to collaborate on energy and carbon credits</t>
  </si>
  <si>
    <t>Singapore and Vietnam sign Memorandums of Understanding to Collaborate on Energy and Carbon Credits (mti.gov.sg)</t>
  </si>
  <si>
    <t>South Korea and Mongolia to Pursue Cooperation in the Mitigation of GHG in Accordance with Article 6 of the Paris Agreement</t>
  </si>
  <si>
    <t>South Korea</t>
  </si>
  <si>
    <t xml:space="preserve">http://eng.me.go.kr/eng/web/board/read.do?menuId=461&amp;boardMasterId=522&amp;boardId=1523930 </t>
  </si>
  <si>
    <t>Signing Ceremony for ROK-Vietnam Climate Change Agreement Takes Place</t>
  </si>
  <si>
    <t xml:space="preserve">https://www.mofa.go.kr/eng/brd/m_5676/view.do?seq=321700 </t>
  </si>
  <si>
    <t>COP27: South Korea, Gabon flag potential Article 6 partnersh</t>
  </si>
  <si>
    <t>Gabon</t>
  </si>
  <si>
    <t xml:space="preserve">https://carbon-pulse.com/178909/ </t>
  </si>
  <si>
    <t>South Korea secures bilateral carbon credit deal with Laos</t>
  </si>
  <si>
    <t>Asia</t>
  </si>
  <si>
    <t>https://carbon-pulse.com/212266/?utm_source=CP+Daily&amp;utm_campaign=e2345ce8af-CPdaily13072023&amp;utm_medium=email&amp;utm_term=0_a9d8834f72-e2345ce8af-110444006</t>
  </si>
  <si>
    <t>Implementing Agreement to the Paris Agreement between the Swiss Confederation and the Republic of Peru</t>
  </si>
  <si>
    <t>https://www.bafu.admin.ch/dam/bafu/en/dokumente/international/fachinfo-daten/Implementing%20Agreement%20to%20the%20Paris%20Agreemen_%20PE_CH_Signed.pdf.download.pdf/Implementing%20Agreement%20to%20the%20Paris%20Agreemen_%20PE_CH_Signed.pdf</t>
  </si>
  <si>
    <t>Cooperation Agreement Switzerland-Ghana Implementation Paris Agreement</t>
  </si>
  <si>
    <t>https://www.bafu.admin.ch/dam/bafu/en/dokumente/international/fachinfo-daten/Cooperation%20Agreement%20CH-Ghana%20Implementation%20Paris%20Agreement.pdf.download.pdf/Cooperation%20Agreement%20CH-Ghana%20Implementation%20Paris%20Agreement.pdf</t>
  </si>
  <si>
    <t>Agreement between Switzerland and Senegal on the implementation of the Paris Agreement</t>
  </si>
  <si>
    <t>https://www.bafu.admin.ch/dam/bafu/en/dokumente/international/fachinfo-daten/Accord%20entre%20la%20Suisse%20et%20le%20S%C3%A9n%C3%A9gal%20relatif%20%C3%A0%20la%20mise%20en%20oeuvre%20de%20l_Accord%20de%20Paris.pdf.download.pdf/Accord%20entre%20la%20Suisse%20et%20le%20S%C3%A9n%C3%A9gal%20relatif%20%C3%A0%20la%20mise%20en%20oeuvre%20de%20l_Accord%20de%20Paris.pdf</t>
  </si>
  <si>
    <t>Implementing Agreement to Paris Agreement between the Swiss Confederation and Georgia</t>
  </si>
  <si>
    <t>https://www.bafu.admin.ch/dam/bafu/fr/dokumente/international/fachinfo-daten/Implementing%20Agreement%20to%20Paris%20Agreement%20between%20the%20Swiss%20Confederation%20and%20Georgia.pdf.download.pdf/Implementing%20Agreement%20to%20Paris%20Agreement%20between%20the%20Swiss%20Confederation%20and%20Georgia.pdf</t>
  </si>
  <si>
    <t>Implementing Agreement to the Paris Agreement between the Swiss Confederation and the Republic of Vanuatu</t>
  </si>
  <si>
    <t>https://www.bafu.admin.ch/dam/bafu/en/dokumente/international/fachinfo-daten/Implementing%20Agreement%20to%20the%20Paris%20Agreement%20between%20the%20Swiss%20Confederation%20and%20the%20Republic%20of%20Vanuatu1.pdf.download.pdf/Implementing%20Agreement%20to%20the%20Paris%20Agreement%20between%20the%20Swiss%20Confederation%20and%20the%20Republic%20of%20Vanuatu1.pdf</t>
  </si>
  <si>
    <t>Implementing Agreement to the Paris Agreement between the Swiss Confederation and the Commonwealth of Dominica</t>
  </si>
  <si>
    <t>https://www.bafu.admin.ch/dam/bafu/en/dokumente/international/fachinfo-daten/Implementing%20Agreement%20to%20the%20Paris%20Agreement%20between%20the%20Swiss%20Confederation%20and%20the%20Commonwealth%20of%20Dominica.pdf.download.pdf/Implementing%20Agreement%20to%20the%20Paris%20Agreement%20between%20the%20Swiss%20Confederation%20and%20the%20Commonwealth%20of%20Dominica.pdf</t>
  </si>
  <si>
    <t>Implementing Agreement to Paris Agreement between the Swiss Confederation and the Kingdom of Thailand</t>
  </si>
  <si>
    <t>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t>
  </si>
  <si>
    <t>Implementing Agreement to the Paris Agreement between the Swiss Federal Council and the Government of Ukraine</t>
  </si>
  <si>
    <t>Ukraine</t>
  </si>
  <si>
    <t>https://www.bafu.admin.ch/dam/bafu/en/dokumente/international/fachinfo-daten/Implementing%20Agreement%20to%20the%20Paris%20Agreement%20between%20the%20Swiss%20Federal%20Council%20and%20the%20Government%20of%20Ukraine.pdf.download.pdf/Implementing%20Agreement%20to%20the%20Paris%20Agreement%20between%20the%20Swiss%20Federal%20Council%20and%20the%20Government%20of%20Ukraine.pdf</t>
  </si>
  <si>
    <t>Agreement for the implementation of the Paris Agreement between the
Swiss Confederation and the Kingdom of Morocco</t>
  </si>
  <si>
    <t>https://www.bafu.admin.ch/dam/bafu/en/dokumente/international/fachinfo-daten/Accord%20de%20mise%20en%20oeuvre%20de%20l_Accord%20de%20Paris%20entre%20la%20Confederation%20suisse%20et%20le%20Royaume%20du%20Maroc.pdf.download.pdf/Accord%20de%20mise%20en%20oeuvre%20de%20l_Accord%20de%20Paris%20entre%20la%20Confederation%20suisse%20et%20le%20Royaume%20du%20Maroc.pdf</t>
  </si>
  <si>
    <t>Implementing Agreement to the Paris Agreement between the Swiss Confederation and the Republic of Malawi</t>
  </si>
  <si>
    <t>https://www.bafu.admin.ch/dam/bafu/en/dokumente/international/fachinfo-daten/durchfuehrungsabkommen-zum-uebereinkommen-von-paris-zwischen-dem-schweizerischen-bundesrat-und-der-regierung-der-republik-malawi.pdf.download.pdf/durchfuehrungsabkommen-zum-uebereinkommen-von-paris-zwischen-dem-schweizerischen-bundesrat-und-der-regierung-der-republik-malawi.pdf</t>
  </si>
  <si>
    <t>Implementing Agreement to the Paris Agreement between the Swiss Confederation and the Oriental Republic of Uruguay</t>
  </si>
  <si>
    <t>Uruguay</t>
  </si>
  <si>
    <t>https://www.bafu.admin.ch/dam/bafu/en/dokumente/international/fachinfo-daten/durchfuehrungsabkommen-zum-uebereinkommen-von-paris-zwischen-der-schweizerischen-eidgenossenschaft-und-der-republik-oestlich-des-uruguay.pdf.download.pdf/Implementing%20Agreement%20to%20the%20Paris%20Agreement%20between%20the%20Swiss%20Confederation%20and%20the%20Oriental%20Republic%20of%20Uruguay%20-%20English.pdf</t>
  </si>
  <si>
    <t>Joint Declaration between the Department of the Environment, Transport, Energy and Communication of the Swiss Confederation on the one part and the Ministry of Energy and the Ministry of the Environment of the Republic of Chile on the other, on Article 6 Cooperation at the Local Level (PDF, 252 kB, 03.03.2022)</t>
  </si>
  <si>
    <t>https://www.bafu.admin.ch/dam/bafu/en/dokumente/international/fachinfo-daten/Joint%20Declaration%20Switzerland%20Chile%20on%20Article%206%20Cooperation%20at%20Local%20Level.pdf.download.pdf/Joint%20Declaration%20Switzerland%20Chile%20on%20Article%206%20Cooperation%20at%20Local%20Level.pdf</t>
  </si>
  <si>
    <t>Mongolia and Japan signed a bilateral document for the introduction of the JCM on January 8th, 2013.</t>
  </si>
  <si>
    <t>https://www.jcm.go.jp/mn-jp/about</t>
  </si>
  <si>
    <t>Bangladesh and Japan signed a bilateral document for the introduction of the JCM on March 19th, 2013.</t>
  </si>
  <si>
    <t xml:space="preserve">https://www.jcm.go.jp/bd-jp/about </t>
  </si>
  <si>
    <t>Ethiopia and Japan signed a bilateral document for the introduction of the JCM on May 27th, 2013.</t>
  </si>
  <si>
    <t>Ethiopia</t>
  </si>
  <si>
    <t xml:space="preserve">https://www.jcm.go.jp/et-jp/about </t>
  </si>
  <si>
    <t>Kenya and Japan signed a bilateral document for the introduction of the JCM on June 12th, 2013</t>
  </si>
  <si>
    <t>https://www.jcm.go.jp/ke-jp/about</t>
  </si>
  <si>
    <t>Maldives and Japan signed a bilateral document for the introduction of the JCM on June 29th, 2013.</t>
  </si>
  <si>
    <t xml:space="preserve">https://www.jcm.go.jp/mv-jp/about </t>
  </si>
  <si>
    <t>Viet Nam and Japan signed a bilateral document for the introduction of the JCM on July 2th, 2013.</t>
  </si>
  <si>
    <t xml:space="preserve">https://www.jcm.go.jp/vn-jp/about </t>
  </si>
  <si>
    <t>Laos and Japan signed a bilateral document for the introduction of the JCM on August 7th, 2013.</t>
  </si>
  <si>
    <t xml:space="preserve">https://www.jcm.go.jp/la-jp/about </t>
  </si>
  <si>
    <t>Indonesia and Japan signed a bilateral document for the introduction of the JCM on August 26th, 2013.</t>
  </si>
  <si>
    <t>https://www.jcm.go.jp/id-jp/about</t>
  </si>
  <si>
    <t>Costa Rica and Japan signed a bilateral document for the introduction of the JCM on December 9th, 2013.</t>
  </si>
  <si>
    <t>https://www.jcm.go.jp/cr-jp/about</t>
  </si>
  <si>
    <t>Palau and Japan signed a bilateral document for the introduction of the JCM on January 13th, 2014.</t>
  </si>
  <si>
    <t>https://www.jcm.go.jp/pw-jp/about</t>
  </si>
  <si>
    <t>Cambodia and Japan signed a bilateral document for the introduction of the JCM on April 11th, 2014.</t>
  </si>
  <si>
    <t>https://www.jcm.go.jp/kh-jp/about</t>
  </si>
  <si>
    <t>Mexico and Japan signed a bilateral document for the introduction of the JCM on July 26th, 2014.</t>
  </si>
  <si>
    <t>Mexico</t>
  </si>
  <si>
    <t>https://www.jcm.go.jp/mx-jp/about</t>
  </si>
  <si>
    <t>The Kingdom of Saudi Arabia and Japan consented to estabilishing the JCM on May 13th, 2015.</t>
  </si>
  <si>
    <t xml:space="preserve">https://www.jcm.go.jp/sa-jp/about </t>
  </si>
  <si>
    <t>Chile and Japan signed a bilateral document for the introduction of the JCM on May 26th, 2015.</t>
  </si>
  <si>
    <t>https://www.jcm.go.jp/cl-jp/about</t>
  </si>
  <si>
    <t>Myanmar and Japan signed a bilateral document for the introduction of the JCM on September 16th, 2015.</t>
  </si>
  <si>
    <t>https://www.jcm.go.jp/mm-jp/about</t>
  </si>
  <si>
    <t>Thailand and Japan signed a bilateral document for the introduction of the JCM on November 19th, 2015.</t>
  </si>
  <si>
    <t xml:space="preserve">https://www.jcm.go.jp/th-jp/about </t>
  </si>
  <si>
    <t>The Philippines and Japan signed a bilateral document to start the JCM on January 12th, 2017.</t>
  </si>
  <si>
    <t>https://www.jcm.go.jp/ph-jp/about</t>
  </si>
  <si>
    <t>Japan and the Republic of Senegal sign the Memorandum of Cooperation for establishing the JCM</t>
  </si>
  <si>
    <t>https://www.env.go.jp/en/press/press_00492.html</t>
  </si>
  <si>
    <t>Japan and the Republic of Tunisia sign the Memorandum of Cooperation for establishing the JCM</t>
  </si>
  <si>
    <t>Tunisia</t>
  </si>
  <si>
    <t>https://www.env.go.jp/en/press/press_00412.html</t>
  </si>
  <si>
    <t>Japan and the Republic of Azerbaijan sign the Memorandum of Cooperation for establishing the JCM</t>
  </si>
  <si>
    <t>Azerbaijan</t>
  </si>
  <si>
    <t>https://www.env.go.jp/en/press/press_00510.html</t>
  </si>
  <si>
    <t>Japan and the Republic of Uzbekistan Sign the Memorandum of Cooperation for Establishing the JCM</t>
  </si>
  <si>
    <t>Uzbekistan</t>
  </si>
  <si>
    <t xml:space="preserve">https://www.env.go.jp/en/press/press_00694.html </t>
  </si>
  <si>
    <t>Japan and the Republic of Moldova Sign the Memorandum of Cooperation for Establishing the JCM</t>
  </si>
  <si>
    <t>Moldova</t>
  </si>
  <si>
    <t xml:space="preserve">https://www.env.go.jp/en/press/press_00446.html </t>
  </si>
  <si>
    <t>Japan and Georgia Sign the Memorandum of Cooperation for Establishing the JCM</t>
  </si>
  <si>
    <t>https://www.env.go.jp/en/press/press_00444.html</t>
  </si>
  <si>
    <t>Japan and the Democratic Socialist Republic of Sri Lanka Sign the Memorandum of Cooperation for Establishing the JCM</t>
  </si>
  <si>
    <t>Sri Lanka</t>
  </si>
  <si>
    <t>https://www.env.go.jp/en/press/press_00647.html</t>
  </si>
  <si>
    <t>Japan and the Independent State of Papua New Guinea sign the Memorandum of Cooperation for Establishing the JCM</t>
  </si>
  <si>
    <t>https://www.env.go.jp/en/press/press_00744.html</t>
  </si>
  <si>
    <t>Japan and United Arab Emirates sign the Memorandum of Cooperation for Establishing the JCM</t>
  </si>
  <si>
    <t>United Arab Emirates</t>
  </si>
  <si>
    <t>https://www.env.go.jp/en/press/press_01346.html</t>
  </si>
  <si>
    <t>Memorandum of Understanding between Swedish Energy Agency, on behalf of The Government of Sweden and Ministry of Forests and Environment, on behalf of the Government of Nepal relating to cooperation for the implementation of Article 6 of the Paris Agreement</t>
  </si>
  <si>
    <t>Nepal</t>
  </si>
  <si>
    <t>Sweden</t>
  </si>
  <si>
    <t>https://www.energimyndigheten.se/48db4d/globalassets/webb-en/cooperation/international-climate-cooperation/mou-on-bilateral-cooperation-under-article-6-of-the-paris-agreement---sweden-and-nepal.pdf</t>
  </si>
  <si>
    <t>Memorandum of Understanding between the Swedish Energy Agency, on behalf of the Government of Sweden and Environmental Protection Agency, on behalf of the Government of the Republic of Ghana relating to the expression of interest to cooperate for the implementation of Article 6 of the Paris Agreement.</t>
  </si>
  <si>
    <t>https://www.energimyndigheten.se/48db4d/globalassets/webb-en/cooperation/international-climate-cooperation/mou-on-bilateral-cooperation-under-article-6-of-the-paris-agreement---sweden-and-ghana.pdf</t>
  </si>
  <si>
    <t>Memorandum of Understanding between the Swedish Energy Agency, on behalf of the Government of Sweden and the Ministry of Environment and Natural Resources, on behalf of the Government of the Domican Republic relating to cooperation for the mplementation of Article 6 of the Paris Agreement.</t>
  </si>
  <si>
    <t>Dominican Republic</t>
  </si>
  <si>
    <t>https://www.energimyndigheten.se/48db4d/globalassets/webb-en/cooperation/international-climate-cooperation/mou-on-bilateral-cooperation-under-article-6-of-the-paris-agreement---sweden-and-dominican-republic.pdf</t>
  </si>
  <si>
    <t>Thailand, Singapore target bilateral carbon market agreement</t>
  </si>
  <si>
    <t>Thailand, Singapore target bilateral carbon market agreement « Carbon Pulse (carbon-pulse.com)</t>
  </si>
  <si>
    <t>Singapore, Cambodia sign Article 6 carbon trading MoU</t>
  </si>
  <si>
    <t>https://www.mse.gov.sg/resource-room/category/2023-06-06-ecosperity-week-2023</t>
  </si>
  <si>
    <t>Singapore, Bhutan sign Article 6 carbon trading cooperation MoU</t>
  </si>
  <si>
    <t>Bhutan</t>
  </si>
  <si>
    <t>https://www.mse.gov.sg/resource-room/category/2023-06-06-ecosperity-week-2023 https://carbon-pulse.com/203817/ https://carbon-pulse.com/201190/</t>
  </si>
  <si>
    <t>Singapore, Kenya sign Article 6 MoU on carbon trading</t>
  </si>
  <si>
    <t>https://carbon-pulse.com/204221</t>
  </si>
  <si>
    <t>Ghana, South Korea negotiate bilateral carbon trade deal</t>
  </si>
  <si>
    <t>https://carbon-pulse.com/207193/</t>
  </si>
  <si>
    <t>Supporting climate action in the Indo-Pacific region</t>
  </si>
  <si>
    <t>Fiji</t>
  </si>
  <si>
    <t>Australia</t>
  </si>
  <si>
    <t>https://www.dcceew.gov.au/climate-change/international-commitments/indo-pacific-region https://carbon-pulse.com/156054/</t>
  </si>
  <si>
    <t>Singapore and Dominican Republic sign Memorandum of Understanding to collaborate on carbon credits</t>
  </si>
  <si>
    <t>https://www.mti.gov.sg/-/media/MTI/Newsroom/Press-Releases/2023/06/Press-Release-on-Signing-of-SG-Dominican-Republic-carbon-credits-collaboration.pdf</t>
  </si>
  <si>
    <t>Singapore and Indonesia Sign Memorandum of Understanding Concerning Cooperation on Climate Change and Sustainability</t>
  </si>
  <si>
    <t>Singapore and Indonesia Sign Memorandum of Understanding Concerning Cooperation on Climate Change and Sustainability (nccs.gov.sg)</t>
  </si>
  <si>
    <t>New Zealand</t>
  </si>
  <si>
    <t>Americas</t>
  </si>
  <si>
    <t>South America</t>
  </si>
  <si>
    <t>Africa</t>
  </si>
  <si>
    <t>Western Africa</t>
  </si>
  <si>
    <t>Northern Africa</t>
  </si>
  <si>
    <t>Eastern Asia</t>
  </si>
  <si>
    <t>Middle Africa</t>
  </si>
  <si>
    <t>Laos</t>
  </si>
  <si>
    <t>Southern Asia</t>
  </si>
  <si>
    <t>Caribbean</t>
  </si>
  <si>
    <t>Western Asia</t>
  </si>
  <si>
    <t>Oceania</t>
  </si>
  <si>
    <t>Melanesia</t>
  </si>
  <si>
    <t>Eastern Africa</t>
  </si>
  <si>
    <t>Europe</t>
  </si>
  <si>
    <t>Eastern Europe</t>
  </si>
  <si>
    <t>Tanzania</t>
  </si>
  <si>
    <t>Zambia</t>
  </si>
  <si>
    <t>Central America</t>
  </si>
  <si>
    <t>Micronesia</t>
  </si>
  <si>
    <t>Central Asia</t>
  </si>
  <si>
    <t>Article 6 Virtual Pilot activites</t>
  </si>
  <si>
    <t>The Virtual Pilot builds on the host country’s mitigation priorities and domestic context but does not represent an official commitment from neither from the buyer country nor from the host country.</t>
  </si>
  <si>
    <t>Nigeria renewable energy - mini grids</t>
  </si>
  <si>
    <t>Nigeria</t>
  </si>
  <si>
    <t>Swedish Energy Agency (SEA)</t>
  </si>
  <si>
    <t>Climate Focus</t>
  </si>
  <si>
    <t>http://www.energimyndigheten.se/globalassets/webb-en/cooperation/virtual-pilot-policy-brief-nigeria-cf.pdf</t>
  </si>
  <si>
    <t xml:space="preserve">Kenya geothermal energy </t>
  </si>
  <si>
    <t>Geothermal</t>
  </si>
  <si>
    <t>Geothermal electricity</t>
  </si>
  <si>
    <t>http://www.energimyndigheten.se/globalassets/webb-en/cooperation/virtual-pilot-policy-brief-kenya-cf.pdf</t>
  </si>
  <si>
    <t>Support the early-stage development of Kenya’s geothermal sector.</t>
  </si>
  <si>
    <t>Chile “Firm and Flexible” Renewable Energy Virtual Pilot</t>
  </si>
  <si>
    <t>CCAP</t>
  </si>
  <si>
    <t>http://www.energimyndigheten.se/globalassets/webb-en/cooperation/virtual-pilot-executive-summary-chile-ccap.pdf</t>
  </si>
  <si>
    <t xml:space="preserve">Geothermal power and coupling intermittent energy generation with storage solutions, such as solar photovoltaic with battery storage and concentrated solar power with thermal energy storage or pumped hydro. </t>
  </si>
  <si>
    <t>Renewable Heating Virtual Article
6 Pilot</t>
  </si>
  <si>
    <t>Khovd</t>
  </si>
  <si>
    <t>Geothermal heating</t>
  </si>
  <si>
    <t>New Climate Institute</t>
  </si>
  <si>
    <t>http://www.energimyndigheten.se/globalassets/webb-en/cooperation/virtual-pilot-executive-summary-mongolia-nci.pdf</t>
  </si>
  <si>
    <t>Philippines Food Cold Chain Virtual Pilot</t>
  </si>
  <si>
    <t>http://www.energimyndigheten.se/globalassets/webb-en/cooperation/virtual-pilot-executive-summary-philippines-ccap.pdf</t>
  </si>
  <si>
    <t>Policy Brief Proposal for Biogas Waste Banks in Indonesia</t>
  </si>
  <si>
    <t>Biogas from MSW</t>
  </si>
  <si>
    <t>CPMA International Uppsala</t>
  </si>
  <si>
    <t>http://www.energimyndigheten.se/globalassets/webb-en/cooperation/virtual-pilot-policy-brief-indonesia.pdf</t>
  </si>
  <si>
    <t>Developed by Johan Nylander and Noim Uddin, CPMA International Uppsala AB; Andreas Pettersson and Björn Martén, Ennuwa, and a team led by Dicky Edwin Hindarto, Yayasan Mitra Hijao,Indonesia.</t>
  </si>
  <si>
    <t xml:space="preserve">The biogas waste bank program builds on small-scale retting of organic waste that citizens bring to the waste bank. The biogas is upgraded and stored in LPG bottles (these are reused, which already is common practice). Citizens that have brought a given amount of waste will receive LPG cannisters for free when a target amount of waste delivered have been reached. </t>
  </si>
  <si>
    <t>Renewable energy from industrial waste and rural small scale solar in Colombia</t>
  </si>
  <si>
    <t>Industrial waste</t>
  </si>
  <si>
    <t xml:space="preserve">South Pole </t>
  </si>
  <si>
    <t>http://www.energimyndigheten.se/contentassets/ada6a4c96afb4b788f9c08e7742d565f/virtual-pilot-executive-summary-colombia-sp-1.pdf</t>
  </si>
  <si>
    <t>Net Zero Energy Buildings (NZEB)</t>
  </si>
  <si>
    <t>Cartagena</t>
  </si>
  <si>
    <t>Zero energy buildings</t>
  </si>
  <si>
    <t>Swedish Energy Agency, German Environment Agency</t>
  </si>
  <si>
    <t>Colombian Ministry of Housing, Ministry for the Environment</t>
  </si>
  <si>
    <t>NewClimate Institute</t>
  </si>
  <si>
    <t xml:space="preserve">Öko-Institut </t>
  </si>
  <si>
    <t>https://newclimate.org/2020/01/29/net-zero-energy-housing-virtual-article-6-pilot-net-zero-energy-buildings-in-cartagena-colombia/</t>
  </si>
  <si>
    <t>Aki Kachi, Carsten Warnecke, Markus Hagemann, Leonardo Nascimento, Silke Mooldijk, Ritika Tewari</t>
  </si>
  <si>
    <t>The Puerto Madero case study will have wall insulation of 15 cm with a U-value of 0.22, and double pane windows with a U-value of 1.94 W/(m2K). Floor area is 3334 m2 with 348 dwellings. Efficient light emitting diode (LED) lighting will be installed in the pilot. The roof of the building is sufficient to cover about 70% of the entire PV system size, while an additional 30% of the system would need to be installed elsewhere such as on the roof of carports or garages.</t>
  </si>
  <si>
    <t>Ground source heat pumps in Khovd city</t>
  </si>
  <si>
    <t>Small ground source heat pumps</t>
  </si>
  <si>
    <t>Swedish Energy Agency</t>
  </si>
  <si>
    <t>https://newclimate.org/2020/01/29/renewable-heating-virtual-article-6-pilot-ground-source-heat-pumps-in-khovd-mongolia/</t>
  </si>
  <si>
    <t>Leonardo Nascimento, Aki Kachi, Silke Mooldijk, Carsten Warnecke</t>
  </si>
  <si>
    <t>Displacing part of the heat generated in the old coal-fired plant. The new system would need to supply all 56 buildings currently connected to the old plant. Use of natural refrigerants. installation of the heat pumps is estimated to be approximately EUR 7.0 million, which we estimate would reduce 7,000 tonnes of CO2 per year.</t>
  </si>
  <si>
    <t>Biogas from industrial wastewater</t>
  </si>
  <si>
    <t>Waste water</t>
  </si>
  <si>
    <t>https://www.southpole.com/blog/project-development-article-6-pilots</t>
  </si>
  <si>
    <t>Jeff Swartz</t>
  </si>
  <si>
    <t>Focusing on the coffee production and cattle ranching industries.</t>
  </si>
  <si>
    <t>Off grid solar PVs</t>
  </si>
  <si>
    <t>The Amazon region, Pacific Area and San Andrés Island</t>
  </si>
  <si>
    <t>Installing solar PVs to replace energy generated from diesel generators in non-grid connected areas.</t>
  </si>
  <si>
    <t>Albania</t>
  </si>
  <si>
    <t>Southern Europe</t>
  </si>
  <si>
    <t>Algeria</t>
  </si>
  <si>
    <t>Angola</t>
  </si>
  <si>
    <t>Southern Africa</t>
  </si>
  <si>
    <t>Argentina</t>
  </si>
  <si>
    <t>Armenia</t>
  </si>
  <si>
    <t>Bahamas</t>
  </si>
  <si>
    <t>Belize</t>
  </si>
  <si>
    <t>Bolivia</t>
  </si>
  <si>
    <t>Bosnia and Herzegovina</t>
  </si>
  <si>
    <t>Brazil</t>
  </si>
  <si>
    <t>Burkina Faso</t>
  </si>
  <si>
    <t>Burundi</t>
  </si>
  <si>
    <t>Southeast Asia</t>
  </si>
  <si>
    <t>Cameroon</t>
  </si>
  <si>
    <t>Cape Verde</t>
  </si>
  <si>
    <t>China</t>
  </si>
  <si>
    <t>Côte d'Ivoire</t>
  </si>
  <si>
    <t>Cuba</t>
  </si>
  <si>
    <t>Cyprus</t>
  </si>
  <si>
    <t>Ecuador</t>
  </si>
  <si>
    <t>Egypt</t>
  </si>
  <si>
    <t>El Salvador</t>
  </si>
  <si>
    <t>Equatorial Guinea</t>
  </si>
  <si>
    <t>Eswatini</t>
  </si>
  <si>
    <t>Gambia</t>
  </si>
  <si>
    <t>Guatemala</t>
  </si>
  <si>
    <t>Guyana</t>
  </si>
  <si>
    <t>Honduras</t>
  </si>
  <si>
    <t>India</t>
  </si>
  <si>
    <t>Iran</t>
  </si>
  <si>
    <t>Iraq</t>
  </si>
  <si>
    <t>Israel</t>
  </si>
  <si>
    <t>Jamaica</t>
  </si>
  <si>
    <t>Jordan</t>
  </si>
  <si>
    <t>Kuwait</t>
  </si>
  <si>
    <t>Kyrgyzstan</t>
  </si>
  <si>
    <t>Lebanon</t>
  </si>
  <si>
    <t>Lesotho</t>
  </si>
  <si>
    <t>Liberia</t>
  </si>
  <si>
    <t>Libya</t>
  </si>
  <si>
    <t>Madagascar</t>
  </si>
  <si>
    <t>Malaysia</t>
  </si>
  <si>
    <t>Mali</t>
  </si>
  <si>
    <t>Malta</t>
  </si>
  <si>
    <t>Mauritius</t>
  </si>
  <si>
    <t>Montenegro</t>
  </si>
  <si>
    <t>Mozambique</t>
  </si>
  <si>
    <t>Namibia</t>
  </si>
  <si>
    <t>Nicaragua</t>
  </si>
  <si>
    <t>Niger</t>
  </si>
  <si>
    <t>North Korea</t>
  </si>
  <si>
    <t>Oman</t>
  </si>
  <si>
    <t>Pakistan</t>
  </si>
  <si>
    <t>Panama</t>
  </si>
  <si>
    <t>Paraguay</t>
  </si>
  <si>
    <t>Qatar</t>
  </si>
  <si>
    <t>Rwanda</t>
  </si>
  <si>
    <t>Serbia</t>
  </si>
  <si>
    <t>Sierra Leone</t>
  </si>
  <si>
    <t>South Africa</t>
  </si>
  <si>
    <t>Sudan</t>
  </si>
  <si>
    <t>Syria</t>
  </si>
  <si>
    <t>Tajikistan</t>
  </si>
  <si>
    <t>Togo</t>
  </si>
  <si>
    <t>Turkmenistan</t>
  </si>
  <si>
    <t>Uganda</t>
  </si>
  <si>
    <t>Yemen</t>
  </si>
  <si>
    <t>Zimbabwe</t>
  </si>
  <si>
    <t>Country</t>
  </si>
  <si>
    <t>Contact</t>
  </si>
  <si>
    <t>Region classification</t>
  </si>
  <si>
    <t>Regions</t>
  </si>
  <si>
    <t>Secretariat of Climate Change, Sustainable Development and Innovation, Ministry of Environment and Sustainable Development
San Martín 451, C1004AAI Buenos Aires</t>
  </si>
  <si>
    <t>The National Emission Registry Unit, Office of the Prime Minister
Sir Cecile Wallace Whitfield Center, Nassau</t>
  </si>
  <si>
    <t>Ministère du Cadre de Vie et du Développement Durable
01 BP 3621 / 01 BP 3502 Cotonou</t>
  </si>
  <si>
    <t>Benin</t>
  </si>
  <si>
    <t>National Climate Coordination, Ministry of Environment and Sustainable Development
Rue Ambassadeur R. Guerillot, B.P. 686, Bangui</t>
  </si>
  <si>
    <t>Central African Republic</t>
  </si>
  <si>
    <t>Ministry of Ecology and Environment
No.12, East Chang'an Avenue, Dongcheng District, Beijing, P.R. China</t>
  </si>
  <si>
    <t>Total</t>
  </si>
  <si>
    <t>Ministry of Environment and Sustainable Development
Cl. 37 #8-40, Bogota</t>
  </si>
  <si>
    <t>Congo</t>
  </si>
  <si>
    <t>National Environment Agency (ANDE)
08 BP 09 Abidjan 08</t>
  </si>
  <si>
    <t>Czechia</t>
  </si>
  <si>
    <t>Ministry of Environment and Natural Resources
Ave. Cayetano Germosén, Esq. Ave. Luperón, El Pedregal, Santo Domingo Oeste, Código postal 11107</t>
  </si>
  <si>
    <t>Ministry of the Environment
Paldiski 96, mnt 7A Tallinn 13522 Tallinn</t>
  </si>
  <si>
    <t>Estonia</t>
  </si>
  <si>
    <t>Ministry of Tourism and Environmental Affairs
P.O. Box 2652, Mbabane H100</t>
  </si>
  <si>
    <t>Ministry of Planning and Development
Gulele Sub-city, Woreda 10, Addis Ababa, Ethiopia</t>
  </si>
  <si>
    <t>Climate Change and International Cooperation Division (CCICD), Ministry of Economy
Level 8, Ro Lalabalavu House, 370 Victoria Parade, Suva</t>
  </si>
  <si>
    <t>Ministry of the Environment
Aleksanterinkatu 7, Helsinki</t>
  </si>
  <si>
    <t>Finland</t>
  </si>
  <si>
    <t>Guinea</t>
  </si>
  <si>
    <t>Department of Market Mechanisms and Emissions Registry, Directorate of Climate Change and Atmospheric Quality
147 Patission Str., Athens 112 51</t>
  </si>
  <si>
    <t>Greece</t>
  </si>
  <si>
    <t>Nationally Designated Authority for the Implementation of Article 6 of Paris Agreement (NDAIAPA)
Room No. A-650, Agni Wing, 6th Floor, Indira Paryavaran Bhawan, Jor Bagh Road, New Delhi - 110003</t>
  </si>
  <si>
    <t>Lesotho Meteorological Services, Ministry of Energy and Meteorology
2nd and 3rd floors, Options Building, Pioneer Road, Maseru</t>
  </si>
  <si>
    <t>Climate Change Research and Cooperation Centre
2nd floor, Room No. 203, Margad Center, 8th khoroo, Student Street, Sukhbaatar District, Ulaanbaatar-14191</t>
  </si>
  <si>
    <t>National Environmental Council for Development, Office of the Prime Minister
B.P. 10193, Niamey</t>
  </si>
  <si>
    <t>Ministry of Environment
Street Diego Dominguez, Building 804, Albrook, Ancon, Panama</t>
  </si>
  <si>
    <t>Commission on 2050 Carbon Neutrality &amp; Green Growth
3F, Sejong Finance Center III, 180 Gareum-ro, Sejong Special Self-Governing City, 30121, Republic Of Korea</t>
  </si>
  <si>
    <t>Republic of Korea</t>
  </si>
  <si>
    <t>Designated National Authority (DNA)
Building No. 02, Digital City, P.O. Box 94293, Riyadh</t>
  </si>
  <si>
    <t>Climate Change and Energy Department, Ministry of Agriculture, Climate Change and Environment
Botanical Gardens, Mont Fleuri , P.O. Box 445, Victoria, Mahe</t>
  </si>
  <si>
    <t>Seychelles</t>
  </si>
  <si>
    <t>Environment Quality Authority (EQA)
Al Bireh - Al Sharafa, P.O. Box 3841</t>
  </si>
  <si>
    <t>State of Palestine</t>
  </si>
  <si>
    <t>Ministère de l'Environnement et des Ressources Forestières
247, Rue des Nîmes, BP 4825-Lomé, TOGO</t>
  </si>
  <si>
    <t>Ministry of Water and Environment
P.O. Box 20026, Kampala</t>
  </si>
  <si>
    <t>Ministry of Energy and Infrastructure ( MOEI)
Al Qusais - Al Qusais- PO Box: 1828, United Arab Emirates(UAE), Dubai</t>
  </si>
  <si>
    <t>Climate Change Management Department, Ministry of Environment, Climate, Tourism and Hospitality Industry
11th Floor, Kaguvi Building, Corner 4th Street/Central Avenue, Harare</t>
  </si>
  <si>
    <t>Mobilizing Article 6 Trading Structures (MATS) Program</t>
  </si>
  <si>
    <t>GGGI</t>
  </si>
  <si>
    <t>.</t>
  </si>
  <si>
    <t>https://gggi.org/global-program/carbon-pricing-unit-cpu/</t>
  </si>
  <si>
    <t>stephan.gill@gggi.org</t>
  </si>
  <si>
    <t xml:space="preserve">This four-year partnership, launched at COP25, builds on SEA’s work in developing capacity in low- and middle-income countries to implement mitigation activities bilaterally and via multilateral engagements.  </t>
  </si>
  <si>
    <t>Designing Article 6 Policy Approaches (DAPA)</t>
  </si>
  <si>
    <t>Norwegian Ministry of Climate and Environment (NMCE)</t>
  </si>
  <si>
    <t>Norway</t>
  </si>
  <si>
    <t>ximena.aristizabal@gggi.org</t>
  </si>
  <si>
    <t>Launched in 2019, this program supports the government of Indonesia in structuring crediting policy approaches. DAPA aims for large-scale and transformative government interventions to issue high-integrity ITMOs. The program also supports the establishment of governance frameworks and procedures required to perform transactions under Article 6.</t>
  </si>
  <si>
    <t>Article 6 Support facility</t>
  </si>
  <si>
    <t>Asia and the Pacific</t>
  </si>
  <si>
    <t>ADB (1.5 MUS$), Government of Germany (1.5 MUS$) and the Swedish Energy Agency (1 MUS$)</t>
  </si>
  <si>
    <t>ADB</t>
  </si>
  <si>
    <t>https://www.adb.org/projects/50404-001/main#project-pds</t>
  </si>
  <si>
    <t>Adaptation Benefit Mechanism (ABM)</t>
  </si>
  <si>
    <t>Africa: Benin, Ethiopia, Cote d’Ivoire, Nigeria, Mozambique, Rwanda, Senegal, Uganda</t>
  </si>
  <si>
    <t>Financed by: AfDB, ACCF, ACTFCN, more coming. The objective of the ABM Pilot Phase is to mobilize USD 50 mln or have 25 registered ABM projects in the period 2019-2023.</t>
  </si>
  <si>
    <t>AfDB, UNCDF, UNIDO</t>
  </si>
  <si>
    <t>AfDB, UNCDF, UNIDO, International Agroforestry Agency (ICRAF), Climate Change Adaptation Innovation, Whave, Allcot, sub-national authorities in various countries</t>
  </si>
  <si>
    <t>ABM Executive Committee, Regional Center for Africa of the Global Center for Adaptation</t>
  </si>
  <si>
    <t>https://www.afdb.org/en/topics-and-sectors/initiatives-partnerships/adaptation-benefit-mechanism-abm</t>
  </si>
  <si>
    <t>E-mail: g.phillps@afdb.org</t>
  </si>
  <si>
    <t>Supporting Preparedness for Article 6 Cooperation (SPAR6C)</t>
  </si>
  <si>
    <t>International Climate Initiative (IKI) of the Federal Ministry for Economic Affairs and Climate Action (BMWK)</t>
  </si>
  <si>
    <t>UNEP CCC, GFA Consulting Group, Carbon Limits  and Komunalkredit Public Consulting</t>
  </si>
  <si>
    <t>marshall.brown@gggi.org</t>
  </si>
  <si>
    <t xml:space="preserve">The five-year project aims to enhance readiness of Colombia, Pakistan, Thailand and Zambia to participate in the international carbon market under Article 6 of the Paris Agreement. To achieve this, the project aims to increase private sector engagement in NDC implementation and to support raising climate ambition in partner countries. </t>
  </si>
  <si>
    <t>Transformative Cabon Asset Facility (TCAF)</t>
  </si>
  <si>
    <t>Global</t>
  </si>
  <si>
    <t>World Bank, Transformative Cabon Asset Facility (TCAF): 200 MUS$ from Germany, Norway, Sweden, UK (76 MUS$)</t>
  </si>
  <si>
    <t>Klaus Oppermann</t>
  </si>
  <si>
    <t>https://tcaf.worldbank.org/about-tcaf</t>
  </si>
  <si>
    <t>The Warehouse Facility</t>
  </si>
  <si>
    <t>World Bank, first pilot country funds are planned for 2019</t>
  </si>
  <si>
    <t>Bangladesh:Eff. cookstoves, rooftop solar, improved farm productivity. India: solar PVs.</t>
  </si>
  <si>
    <t>https://www.theclimatewarehouse.org/</t>
  </si>
  <si>
    <t>Developing and Transacting an Up Scaled CDM-based Carbon Credit Approach in SEMED</t>
  </si>
  <si>
    <t>Egypt, Morocco, Jordan, Tunisia</t>
  </si>
  <si>
    <t>EBRD &amp; Spanish Government</t>
  </si>
  <si>
    <t>EBRD, South Pole Spain,</t>
  </si>
  <si>
    <t xml:space="preserve">A consortium led by South Pole Group together with INCLAM CO2, Typsa, Aenor, Enviro Consulting International (ECI) and the Egypt National Cleaner Production Centre (ENCPC) </t>
  </si>
  <si>
    <t>https://www.ebrd.com/work-with-us/procurement/pn-49824.html</t>
  </si>
  <si>
    <t>Global Carbon Market</t>
  </si>
  <si>
    <t>Uganda, India, Tunisia, Chile</t>
  </si>
  <si>
    <t>German Federal Ministry for Economic Affairs and Climate Action (BMWK)</t>
  </si>
  <si>
    <t>Uganda: Climate Change Department of the Uganda Ministry of Water and Environment
India: Ministry of Environment, Forests and Climate Change
Chile: Ministerio de Energia
Tunisia: L‘Agence Nationale pour la Maîtrise de l’Energie</t>
  </si>
  <si>
    <t>GIZ</t>
  </si>
  <si>
    <t>https://www.giz.de/en/worldwide/42190.html</t>
  </si>
  <si>
    <t xml:space="preserve">Sven Marc Egbers
sven.egbers@giz.de </t>
  </si>
  <si>
    <t>Through studies and analyses, the project strengthens the ability of public decision-makers in the partner countries to make use of new and existing carbon market instruments. It advises government agencies and private sector actors on the opportunities provided by market-based instruments. Experiences and lessons learned are shared with relevant actors at conferences and workshops. The project also strengthens the participation of the partner countries in international negotiations and South-South knowledge exchange.</t>
  </si>
  <si>
    <t>Building up the global carbon market in East Africa</t>
  </si>
  <si>
    <t>Climate Change Department of the Uganda Ministry of Water and Environment</t>
  </si>
  <si>
    <t xml:space="preserve">https://www.giz.de/en/worldwide/42196.html </t>
  </si>
  <si>
    <t>Sven Marc Egbers
sven.egbers@giz.de</t>
  </si>
  <si>
    <t>The project is supporting the region in efforts to draft a joint vision for carbon mechanisms. To this end, it works together with the Eastern Africa Alliance on Carbon Markets and Climate Finance, which was founded in 2019.In addition to this, workshops and networking meetings provide information on Article 6 and market-based approaches in the region.</t>
  </si>
  <si>
    <t>Climate Market Club</t>
  </si>
  <si>
    <t>Bangladesh, Bhutan, Chile, Ghana, Japan, Peru, Rwanda, Senegal, Singapore, Sweden, and Switzerland</t>
  </si>
  <si>
    <t>The World Bank Group, MDB Working Group on Article 6 (including Asian Development Bank, African Development Bank, European Bank for Reconstruction and Development, and Inter-American Development Bank).</t>
  </si>
  <si>
    <t>https://pmiclimate.org/blog/unlocking-ambition-through-climate-market-club</t>
  </si>
  <si>
    <t xml:space="preserve">The Club is a group of national governments that jointly develop modalities for piloting activities under Article 6.2 of the Paris Agreement. It is formed on the basis of mutual understanding and commitment from all Members to make efforts to adhere to and implement the principles of ensuring environmental integrity, avoiding double counting, and following the rules and guidance that emerge from the international negotiations. </t>
  </si>
  <si>
    <t xml:space="preserve">Africa Carbon Markets Initiative </t>
  </si>
  <si>
    <t>Kenya, Gabon, Malawi, Mozambique, Togo, Nigeria, Burundi and Rwanda</t>
  </si>
  <si>
    <t xml:space="preserve">https://climatechampions.unfccc.int/africa-carbon-markets-initiative-announces-13-action-programs/ </t>
  </si>
  <si>
    <t>Africa Carbon Markets Initiative (ACMI) launched at COP27 with the aim of dramatically scaling voluntary carbon markets across Africa by:
Scaling the market to 300 million carbon credits retired annually by 2030, and 1.5 billion credits annually by 2050
Unlocking $6 billion in revenue by 2030 and over $120 billion by 2050
Supporting 30 million jobs by 2030 and over 110 million jobs by 2050</t>
  </si>
  <si>
    <t>Climate Finance Innovators Project</t>
  </si>
  <si>
    <t>Ethiopia, Senegal and Uganda</t>
  </si>
  <si>
    <t>The project is supported by the International Climate Initiative (IKI) of the German Federal Ministry for the Environment, Nature Conversation and Nuclear Safety (BMU) on the basis of a decision adopted by the German Bundestag.</t>
  </si>
  <si>
    <t>https://www.climatefinanceinnovators.com/project-background/</t>
  </si>
  <si>
    <t>"The Climate Finance Innovators Project aims to develop replicable climate financing models in Ethiopia, Senegal and Uganda that are based on the Clean Development Mechanism (CDM) elements and activities. The project thereby establishes innovative linkages between UNFCCC market mechanisms and international climate financing institutions such as the Green Climate Fund (GCF)."</t>
  </si>
  <si>
    <t>Article 6 Implementation Partnership Center</t>
  </si>
  <si>
    <t xml:space="preserve">https://www.env.go.jp/en/press/press_01393.html </t>
  </si>
  <si>
    <t>"Ministry of the Environment (MOE), Japan launched the Paris Agreement Article 6 Implementation Partnership (A6IP) at COP27 last year to support capacity building on Article 6 of the Paris Agreement.". 
"Areas of work:
Facilitate understanding of A6 rules and linkages with NDCs
Share good practices of institutional arrangements
Conduct mutual learning and trainings for A6 reporting and review
Support baseline methodology (tool development, etc.)
Designing of high integrity carbon markets"</t>
  </si>
  <si>
    <t>Project types</t>
  </si>
  <si>
    <t>Number of projects</t>
  </si>
  <si>
    <t>% Share</t>
  </si>
  <si>
    <t>CO2 usage</t>
  </si>
  <si>
    <t>Coal bed/mine methane</t>
  </si>
  <si>
    <t>EE own generation</t>
  </si>
  <si>
    <t>Fossil fuel switch</t>
  </si>
  <si>
    <t>Fugitive</t>
  </si>
  <si>
    <t>Mixed renewables</t>
  </si>
  <si>
    <t>N2O</t>
  </si>
  <si>
    <t>PFCs and SF6</t>
  </si>
  <si>
    <t>Reforestation</t>
  </si>
  <si>
    <t>Tidal</t>
  </si>
  <si>
    <t>Wind</t>
  </si>
  <si>
    <t>Biomass Energy</t>
  </si>
  <si>
    <t>Countries</t>
  </si>
  <si>
    <t>Barbados</t>
  </si>
  <si>
    <t>Haiti</t>
  </si>
  <si>
    <t>Trinidad and Tobago</t>
  </si>
  <si>
    <t>Timor-Leste</t>
  </si>
  <si>
    <t>Chad</t>
  </si>
  <si>
    <t>Djibouti</t>
  </si>
  <si>
    <t>Somalia</t>
  </si>
  <si>
    <t>Projects</t>
  </si>
  <si>
    <t>Registered</t>
  </si>
  <si>
    <t>PDD and MOC submitted</t>
  </si>
  <si>
    <t>Open for public inputs/comments</t>
  </si>
  <si>
    <t>Validaiton</t>
  </si>
  <si>
    <t>Request for registration</t>
  </si>
  <si>
    <t>Request for post-registration changes</t>
  </si>
  <si>
    <t xml:space="preserve">Rejected </t>
  </si>
  <si>
    <t>Withdrawn</t>
  </si>
  <si>
    <t>Coal Bed/mine CH4</t>
  </si>
  <si>
    <t>N2O total</t>
  </si>
  <si>
    <t>PFCs+SF6</t>
  </si>
  <si>
    <t>Not classified (other)</t>
  </si>
  <si>
    <t>Pilot projects excluding JCM</t>
  </si>
  <si>
    <t>&lt;10 kt</t>
  </si>
  <si>
    <t>10-100kt</t>
  </si>
  <si>
    <t>&gt; 100 kt</t>
  </si>
  <si>
    <t>No data</t>
  </si>
  <si>
    <t>JCM projects</t>
  </si>
  <si>
    <t>Designated National Authorities for Article 6.4 Mechanism</t>
  </si>
  <si>
    <t>Ms. Cecilia Nicolini
			(+54) 11 4348 8200 int. 3002
			cnicolini@ambiente.gob.ar cambioclimatico@ambiente.gob.ar</t>
  </si>
  <si>
    <t>Ministry of Ecology and Natural Resources 
Kazim Kazimzade 100 (A), AZ1073, Baku, Azerbaijan</t>
  </si>
  <si>
    <t>Mr. Fuad Humbatov
(+994 50) 270 43 73
fuad.humbatov@mail.ru</t>
  </si>
  <si>
    <t>Ministry of Environment, Forest and Climate Change</t>
  </si>
  <si>
    <t>Department of Environment and Climate Change, Ministry of Energy and Natural Resource</t>
  </si>
  <si>
    <t>Ministry of Environment and Climate Change</t>
  </si>
  <si>
    <t>China (People's Republic)</t>
  </si>
  <si>
    <t>Liechtenstein</t>
  </si>
  <si>
    <t>Pakistan (Islamic Republic of)</t>
  </si>
  <si>
    <t>Mrs. Larissa Cartwright 
			(+1) 242 702 5500 
			Larissaferguson@Bahamas.gov.bs</t>
  </si>
  <si>
    <t>Mirza Shawkat Ali
+880-2222-218-404
mirzasa1@yahoo.com</t>
  </si>
  <si>
    <t>Mr. Martin Pépin Aïna
			(+229) 966 13936
			maina@gouv.bj
			Mr. Wilfried Biao Mongazi (Alternate)
			(+229) 660 14474
			mbiaomongazi@gouv.bj</t>
  </si>
  <si>
    <t>Mrs. Tashi Pem
(+975)02321707 and (+975)17625990
tashipem1@moenr.gov.bt</t>
  </si>
  <si>
    <t>Aloisio Lopes Pereira de Melo
+55 612 028-2021/2028-1240
artigo6@mma.gov.br</t>
  </si>
  <si>
    <t>Ministry of Environment 
No. 503, Road along Bassac River, Sangkat Tonle Bassac, Chamkarmon, Phnom Penh, Cambodia</t>
  </si>
  <si>
    <t>H.E. Mr. Say Samal
			(+855) 89 719 007
			chhigoby@gmail.com  maohakccd.se@gmail.com  officeofssa@gmail.com</t>
  </si>
  <si>
    <t>Mr. Aubin Charles Nziaoue Zalo-kette
			(+236) 756 50095 
			(+236) 726 18629
			acnziaoue@yahoo.fr</t>
  </si>
  <si>
    <t>Mr. Li Gao
			climate_china@mee.gov.cn</t>
  </si>
  <si>
    <t>Mr. Sebastian Carranza
			sccarranza@minambiente.gov.co
			Ms. Adriana Gutierrez
			agutierrez@minambiente.gov.co</t>
  </si>
  <si>
    <t>Ministère de l'Environnement,
			du Développement Durable et du Bassin du Congo
11ème étage Tour Nabemba Brazzaville</t>
  </si>
  <si>
    <t>Mr. Jean Frederique Vidalie Andea
			(+242) 06 660 92 02
			andeavidalie@gmail.com
			Ms. Florantine Mapeine Onotiang
			(+237) 699 13 90 79
			florantinef2bc@gmail.com
			Mr. Suspense Averti Ifo
			(+242) 06 802 97 20
			averti.ifosuspens@umng.cg
			Ms. Guyriane Nadia Charone Okombi (Alternate)
			(+242) 06 625 00 58
			gnokombi@gmail.com</t>
  </si>
  <si>
    <t>Ministry of Environment and Energy 
Costa Rica, San Jose, Vista Palace Building,
			Street 25, Avenue 8 and 10</t>
  </si>
  <si>
    <t>Mr. Iván Alonso Delgado Pitti
			(+506) 8713 9963
			idelgado@minae.go.cr</t>
  </si>
  <si>
    <t>Ms. Rachel Boti-Douayoua
			(+225) 0749381691 
			rbdouayoua@gmail.com</t>
  </si>
  <si>
    <t>Ministry of the Environment 
Vršovická 65, 100 10 Prague</t>
  </si>
  <si>
    <t>Mr. Pavel Zámyslický
			(+420) 724 263 273
			Pavel.Zamyslicky@mzp.cz</t>
  </si>
  <si>
    <t>Ms. Nathalie Flores Gonzalez
			(+1) 809 567 4300 Ext.7251
			nathalie.flores@ambiente.gob.do</t>
  </si>
  <si>
    <t>Ms. Reet Ulm
			(+372) 5375 6005
			reet.ulm@envir.ee</t>
  </si>
  <si>
    <t>Ms. Khetsiwe Khumalo
			(+268) 2404 6472
			climatechange@swazimet.gov.sz
			theregoesthecat@yahoo.co.uk</t>
  </si>
  <si>
    <t>Mr. Abas Mohammed Ali
			(+251) 911 544 526
			abas.mohammed5@gmail.com</t>
  </si>
  <si>
    <t>Ms. Ranjila Singh
			(+679) 330 7011
			ranjila.singh@economy.gov.fj</t>
  </si>
  <si>
    <t>Mr. Tuomo Kalliokoski
			(+358) 295 250 053
			tuomo.kalliokoski@ym.fi</t>
  </si>
  <si>
    <t>Environmental Protection Agency
P.O. Box M326 Ministries, Accra - Ghana</t>
  </si>
  <si>
    <t>Dr. Daniel Tutu Benefoh
			(+233) 501301475
			daniel.benefo@epa.gov.gh
			Dr. Peter Dery
			(+233) 243646749
			Peterjdery@yahoo.com</t>
  </si>
  <si>
    <t>Ministere De L’environnement Et Du Developpement Durable 
Quartier Almamya en face du Ministère de l’Agriculture,
			Immeuble CNLS; BP 3118-Conakry, République de Guinée</t>
  </si>
  <si>
    <t>Ms. Oumou Doumbouya
			(+224) 622 498 203
			oumoudoumbouya1@gmail.com
			Mr. Alpha Ibrahima Bah (Alternate) 
			(+224) 628 509 108
			alfabah2010@gmail.com
			Ms. Adama Diabate (Alternate) 
			(+224) 620 711 431
			adamadiabat7@gmail.com</t>
  </si>
  <si>
    <t>Ms. Irini Nikolaou
			(+30) 210 864 2366
			i.nikolaou@prv.ypeka.gr</t>
  </si>
  <si>
    <t>Ms. Rajasree Ray
			(+91) 11 20819197
			rajasree.r@nic.in</t>
  </si>
  <si>
    <t>Ms. Malehloa Jockey
			(+266) 2232 4376
			jockey2001@gmail.com malehloa.jockey@gov.ls</t>
  </si>
  <si>
    <t>Office for Environment Climate and International Affairs
Gerberweg 5, P.O.Box 684, Liechtenstein</t>
  </si>
  <si>
    <t>Ms. Karin Jehle
			(+423) 236 61 96
			Karin.Jehle@llv.li</t>
  </si>
  <si>
    <t>Environment and Climate Change Division, Ministry of Environment, Solid Waste Management and Climate Change
10th Floor, Ken Lee Building, Corner Barracks and St Georges Streets, Port Louis</t>
  </si>
  <si>
    <t>Ms. Sarita Meeheelaul
			(+210) 5620 or 203 6200 (ext 250 or 235)
			smeeheelaul@govmu.org</t>
  </si>
  <si>
    <t>Ms. Otgontsetseg Luvsandash
			(+976) 700 00743
			jcmmongolia@gmail.com</t>
  </si>
  <si>
    <t>General Secretariat, Ministry of Energy Transition and Sustainable Development  
No. 9, Avenue Al Araar, 420/1 Secteur 16, Hay Riad, Rabat</t>
  </si>
  <si>
    <t>Mr. Rachid Tahiri
			(+212) 661 550 043
			r_tahiri@yahoo.fr</t>
  </si>
  <si>
    <t>Environmental Conservation Department, Ministry of Natural Resources and Environmental Conservation
Office Building No. (53), Ottarathiri Township, Nay Pyi Taw, Myanmar</t>
  </si>
  <si>
    <t>Ministry of Environment, Forestry and Tourism
Private Bag 13306, Windhoek</t>
  </si>
  <si>
    <t>Mr. Petrus Muteyauli
			(+264) 612 842 701
			(+264) 811 288 658
			petrus.muteyauli@meft.gov.na
			pmuteyauli@yahoo.co.uk</t>
  </si>
  <si>
    <t>Mr. Kamayé Maâzou
			(+227) 722 981/2559
			kamayemaazou@yahoo.fr</t>
  </si>
  <si>
    <t>National Council on Climate Change
Plot 464 Iya Abubakar Crescent, Off Alex Ekweme Way, Jabi, Abuja, Nigeria</t>
  </si>
  <si>
    <t>Mr. Salisu Dahiru
			(+234) 803 057 0625
			sdahiru85@gmail.com
			salisu.dahiru@natccc.gov.ng</t>
  </si>
  <si>
    <t>Ministry of Climate Change 
LG&amp;RD Complex, 4th Floor, Sector G-5/2, Islamabad, Pakistan</t>
  </si>
  <si>
    <t>Mr. Muhammad Farooq
			(+92) 519 245 528
			mfarooqbehram@gmail.com</t>
  </si>
  <si>
    <t>Ms. Ligia Castro de Doens
			(+507) 500 0855
			lcastrod@miambiente.gob.pa
			Mr. Javier Martinez (Alternate)  
			adominguez@miambiente.gob.pa
			(+507) 500-0855</t>
  </si>
  <si>
    <t>Ministerio del Ambiente
AV. Antonio Miroquesada 425. Magdalena del Mar, Lima</t>
  </si>
  <si>
    <t>Md. Milagros Zoila Sandoval Diaz
			(+511) 611 6000 / 1350
			msandovald@minam.gob.pe 
			kmondonedo@minam.gob.pe</t>
  </si>
  <si>
    <t>Mr. Yongwhan Oh
			(+82) 44 200 1954
			korea2050@korea.kr</t>
  </si>
  <si>
    <t>Rwanda Environment Management Authority
Kimironko, Kigali</t>
  </si>
  <si>
    <t>Mr. Bernardin Bavuge
			(+250) 788 413 796
			bbavuge@rema.gov.rw</t>
  </si>
  <si>
    <t>Mr. Abdullah N. Al-Sarhan
			(+966) 112 819 714
			a.sarhan@cdmdna.gov.sa</t>
  </si>
  <si>
    <t>Ministere De L 'Environnement Du Developpement Durable Et De La Transition Ecologique, Direction De L 'E'nvironnement Et Des Establissements Classes
106 rue Carnot Dakar</t>
  </si>
  <si>
    <t>Mr. Baba Drame
			(+221) 775 180 313
			babadrame@gmail.com
			Ms. Madeleine Diouf Sarr (Alternate)
			rosemadiouf@gmail.com
			(+221) 770 682 533
			Mr. Papa Lamine Diouf (Alternate)
			diouf.papa.lamine@gmail.com
			(+221) 779 051 798</t>
  </si>
  <si>
    <t>Mr. Will Michel Agricole
			(+248) 467 0568
			(+248) 271 4419
			w.agricole@meteo.gov.sc</t>
  </si>
  <si>
    <t>Mr. Nedal Abdelqader Katbehbader
			(+970) 599 201 541
			(+970) 568 801 541
			n72065@hotmail.com</t>
  </si>
  <si>
    <t>Ministry of Tourism and Environment of Timor - Leste
Fomento Office, Rua Dom Boa Ventura No. 16, Mandarin Dili</t>
  </si>
  <si>
    <t>Mr. Pedro Godinho Dos Santos Marcal Da Costa
			(+670) 77571385
			a.04sta@gmail.com</t>
  </si>
  <si>
    <t>Dr. Edou Komlan
			(+228) 90 92 40 80/98 45 48 42
			komlanedouk@gmail.com /komkayi80@yahoo.fr
			Mr. Ouro Gouni Bouraima (Alternate)
			(+228) 90 91 78 85
			brahimoug79@yahoo.com</t>
  </si>
  <si>
    <t>Ms. Irene Chekwoti 
			chekwoti.irene@gmail.com
			Mr. Bob Natifu (Alternate) 
			bobnatifu@gmail.com</t>
  </si>
  <si>
    <t>Ministry of Environmental Protection and Natural Resources
35 Mytropolyta Vasylya Lypkіvskogo Str., Kyiv, 03035, Ukraine</t>
  </si>
  <si>
    <t>Mr. Vladyslav Bandurov
+380 665 754 113
v.bandurov2213@gmail.com</t>
  </si>
  <si>
    <t>Mr. Ahmed Mohamed Alkaabi
			(+971) 2406 2400
			Ahmed.AlKaabi@moei.gov.ae</t>
  </si>
  <si>
    <t>Ministerio de Ambiente de Uruguay
Liniers 1324, piso 6, Montevideo 11000 Uruguay</t>
  </si>
  <si>
    <t>Ms. Natalie Pareja
			(+598) 2150 ext. 2015 
			natalie.pareja@ambiente.gub.uy
			nfp.unfccc@ambiente.gub.uy</t>
  </si>
  <si>
    <t>Ministry of Economy and Finance
Tashkent city</t>
  </si>
  <si>
    <t>Mr. Ilkhom Norkulov 
			ilhom.norqulov@imv.uz
			(+998) 71 203 19 93 (722/723)
			(+998) 93 544 13 81</t>
  </si>
  <si>
    <t>Ministry of Climate Change Adaptation,
			Meteorology and Geo-hazards
Private Mail Bag 9051 Port Vila</t>
  </si>
  <si>
    <t>Ms. Esline Garaebiti
			(+678) 220 68
			gesline@vanuatu.gov.vu
			Mr. Antony Garae (Alternate) 
			(+678) 252 01
			Ms. Florence Iautu (Alternate)
			(+678) 220 68</t>
  </si>
  <si>
    <t>Ministry of Green Economy and Environment 
Corner of John Mbita &amp; Nationalist Roads</t>
  </si>
  <si>
    <t>Mr. Ephraim M Shitima
			(+260) 977 893 961
			emshitima40@gmail.com</t>
  </si>
  <si>
    <t>Mr. Washington Zhakata
			(+263) 773 069 438
			washingtonzhakata@gmail.com</t>
  </si>
  <si>
    <t>Authority</t>
  </si>
  <si>
    <t>Afghanistan</t>
  </si>
  <si>
    <t>AF</t>
  </si>
  <si>
    <t>AL</t>
  </si>
  <si>
    <t>DZ</t>
  </si>
  <si>
    <t>Andorra</t>
  </si>
  <si>
    <t>AD</t>
  </si>
  <si>
    <t>AO</t>
  </si>
  <si>
    <t>Antigua and Barbuda</t>
  </si>
  <si>
    <t>AG</t>
  </si>
  <si>
    <t>AR</t>
  </si>
  <si>
    <t>AM</t>
  </si>
  <si>
    <t>AU</t>
  </si>
  <si>
    <t>Austria</t>
  </si>
  <si>
    <t>AT</t>
  </si>
  <si>
    <t>Western Europe</t>
  </si>
  <si>
    <t>AZ</t>
  </si>
  <si>
    <t>BS</t>
  </si>
  <si>
    <t>Bahrain</t>
  </si>
  <si>
    <t>BH</t>
  </si>
  <si>
    <t>BD</t>
  </si>
  <si>
    <t>BB</t>
  </si>
  <si>
    <t>Belarus</t>
  </si>
  <si>
    <t>BY</t>
  </si>
  <si>
    <t>Belgium</t>
  </si>
  <si>
    <t>BE</t>
  </si>
  <si>
    <t>BZ</t>
  </si>
  <si>
    <t>BJ</t>
  </si>
  <si>
    <t>BT</t>
  </si>
  <si>
    <t>BO</t>
  </si>
  <si>
    <t>BA</t>
  </si>
  <si>
    <t>Botswana</t>
  </si>
  <si>
    <t>BW</t>
  </si>
  <si>
    <t>BR</t>
  </si>
  <si>
    <t>Brunei</t>
  </si>
  <si>
    <t>BN</t>
  </si>
  <si>
    <t>Bulgaria</t>
  </si>
  <si>
    <t>BG</t>
  </si>
  <si>
    <t>BF</t>
  </si>
  <si>
    <t>BI</t>
  </si>
  <si>
    <t>Cabo Verde</t>
  </si>
  <si>
    <t>CV</t>
  </si>
  <si>
    <t>KH</t>
  </si>
  <si>
    <t>CM</t>
  </si>
  <si>
    <t>Canada</t>
  </si>
  <si>
    <t>CA</t>
  </si>
  <si>
    <t>Northern America</t>
  </si>
  <si>
    <t>CF</t>
  </si>
  <si>
    <t>TD</t>
  </si>
  <si>
    <t>CL</t>
  </si>
  <si>
    <t>CN</t>
  </si>
  <si>
    <t>CO</t>
  </si>
  <si>
    <t>Comoros</t>
  </si>
  <si>
    <t>KM</t>
  </si>
  <si>
    <t>Congo (Brazzaville)</t>
  </si>
  <si>
    <t>CG</t>
  </si>
  <si>
    <t>Congo (Kinshasa)</t>
  </si>
  <si>
    <t>CD</t>
  </si>
  <si>
    <t>CR</t>
  </si>
  <si>
    <t>Cote d'Ivoire</t>
  </si>
  <si>
    <t>CI</t>
  </si>
  <si>
    <t>Croatia</t>
  </si>
  <si>
    <t>HR</t>
  </si>
  <si>
    <t>CU</t>
  </si>
  <si>
    <t>CY</t>
  </si>
  <si>
    <t>Czech Republic</t>
  </si>
  <si>
    <t>CZ</t>
  </si>
  <si>
    <t>Denmark</t>
  </si>
  <si>
    <t>DK</t>
  </si>
  <si>
    <t>Northern Europe</t>
  </si>
  <si>
    <t>DJ</t>
  </si>
  <si>
    <t>DM</t>
  </si>
  <si>
    <t>DO</t>
  </si>
  <si>
    <t>EC</t>
  </si>
  <si>
    <t>EG</t>
  </si>
  <si>
    <t>SV</t>
  </si>
  <si>
    <t>GQ</t>
  </si>
  <si>
    <t>Eritrea</t>
  </si>
  <si>
    <t>ER</t>
  </si>
  <si>
    <t>EE</t>
  </si>
  <si>
    <t>SZ</t>
  </si>
  <si>
    <t>ET</t>
  </si>
  <si>
    <t>FJ</t>
  </si>
  <si>
    <t>FI</t>
  </si>
  <si>
    <t>France</t>
  </si>
  <si>
    <t>FR</t>
  </si>
  <si>
    <t>GA</t>
  </si>
  <si>
    <t>GM</t>
  </si>
  <si>
    <t>GE</t>
  </si>
  <si>
    <t>DE</t>
  </si>
  <si>
    <t>GH</t>
  </si>
  <si>
    <t>GR</t>
  </si>
  <si>
    <t>Grenada</t>
  </si>
  <si>
    <t>GD</t>
  </si>
  <si>
    <t>GT</t>
  </si>
  <si>
    <t>GN</t>
  </si>
  <si>
    <t>Guinea-Bissau</t>
  </si>
  <si>
    <t>GW</t>
  </si>
  <si>
    <t>GY</t>
  </si>
  <si>
    <t>HT</t>
  </si>
  <si>
    <t>HN</t>
  </si>
  <si>
    <t>Hungary</t>
  </si>
  <si>
    <t>HU</t>
  </si>
  <si>
    <t>Iceland</t>
  </si>
  <si>
    <t>IS</t>
  </si>
  <si>
    <t>IN</t>
  </si>
  <si>
    <t>ID</t>
  </si>
  <si>
    <t>IR</t>
  </si>
  <si>
    <t>IQ</t>
  </si>
  <si>
    <t>Ireland</t>
  </si>
  <si>
    <t>IE</t>
  </si>
  <si>
    <t>IL</t>
  </si>
  <si>
    <t>Italy</t>
  </si>
  <si>
    <t>IT</t>
  </si>
  <si>
    <t>JM</t>
  </si>
  <si>
    <t>JP</t>
  </si>
  <si>
    <t>JO</t>
  </si>
  <si>
    <t>Kazakhstan</t>
  </si>
  <si>
    <t>KZ</t>
  </si>
  <si>
    <t>KE</t>
  </si>
  <si>
    <t>Kiribati</t>
  </si>
  <si>
    <t>KI</t>
  </si>
  <si>
    <t>KP</t>
  </si>
  <si>
    <t>KR</t>
  </si>
  <si>
    <t>Kosovo</t>
  </si>
  <si>
    <t>XK</t>
  </si>
  <si>
    <t>KW</t>
  </si>
  <si>
    <t>KG</t>
  </si>
  <si>
    <t>LA</t>
  </si>
  <si>
    <t>Latvia</t>
  </si>
  <si>
    <t>LV</t>
  </si>
  <si>
    <t>LB</t>
  </si>
  <si>
    <t>LS</t>
  </si>
  <si>
    <t>LR</t>
  </si>
  <si>
    <t>LY</t>
  </si>
  <si>
    <t>LI</t>
  </si>
  <si>
    <t>Lithuania</t>
  </si>
  <si>
    <t>LT</t>
  </si>
  <si>
    <t>Luxembourg</t>
  </si>
  <si>
    <t>LU</t>
  </si>
  <si>
    <t>MG</t>
  </si>
  <si>
    <t>MW</t>
  </si>
  <si>
    <t>MY</t>
  </si>
  <si>
    <t>MV</t>
  </si>
  <si>
    <t>ML</t>
  </si>
  <si>
    <t>MT</t>
  </si>
  <si>
    <t>Marshall Islands</t>
  </si>
  <si>
    <t>MH</t>
  </si>
  <si>
    <t>Mauritania</t>
  </si>
  <si>
    <t>MR</t>
  </si>
  <si>
    <t>MU</t>
  </si>
  <si>
    <t>MX</t>
  </si>
  <si>
    <t>FM</t>
  </si>
  <si>
    <t>MD</t>
  </si>
  <si>
    <t>Monaco</t>
  </si>
  <si>
    <t>MC</t>
  </si>
  <si>
    <t>MN</t>
  </si>
  <si>
    <t>ME</t>
  </si>
  <si>
    <t>MA</t>
  </si>
  <si>
    <t>MZ</t>
  </si>
  <si>
    <t>MM</t>
  </si>
  <si>
    <t>NA</t>
  </si>
  <si>
    <t>Nauru</t>
  </si>
  <si>
    <t>NR</t>
  </si>
  <si>
    <t>NP</t>
  </si>
  <si>
    <t>Netherlands</t>
  </si>
  <si>
    <t>NL</t>
  </si>
  <si>
    <t>NZ</t>
  </si>
  <si>
    <t>NI</t>
  </si>
  <si>
    <t>NE</t>
  </si>
  <si>
    <t>NG</t>
  </si>
  <si>
    <t>North Macedonia</t>
  </si>
  <si>
    <t>MK</t>
  </si>
  <si>
    <t>NO</t>
  </si>
  <si>
    <t>OM</t>
  </si>
  <si>
    <t>PK</t>
  </si>
  <si>
    <t>PW</t>
  </si>
  <si>
    <t>PA</t>
  </si>
  <si>
    <t>PG</t>
  </si>
  <si>
    <t>PY</t>
  </si>
  <si>
    <t>PE</t>
  </si>
  <si>
    <t>PH</t>
  </si>
  <si>
    <t>Poland</t>
  </si>
  <si>
    <t>PL</t>
  </si>
  <si>
    <t>Portugal</t>
  </si>
  <si>
    <t>PT</t>
  </si>
  <si>
    <t>QA</t>
  </si>
  <si>
    <t>Romania</t>
  </si>
  <si>
    <t>RO</t>
  </si>
  <si>
    <t>Russia</t>
  </si>
  <si>
    <t>RU</t>
  </si>
  <si>
    <t>RW</t>
  </si>
  <si>
    <t>Saint Kitts and Nevis</t>
  </si>
  <si>
    <t>KN</t>
  </si>
  <si>
    <t>Saint Lucia</t>
  </si>
  <si>
    <t>LC</t>
  </si>
  <si>
    <t>Saint Vincent and the Grenadines</t>
  </si>
  <si>
    <t>VC</t>
  </si>
  <si>
    <t>Samoa</t>
  </si>
  <si>
    <t>WS</t>
  </si>
  <si>
    <t>Polynesia</t>
  </si>
  <si>
    <t>San Marino</t>
  </si>
  <si>
    <t>SM</t>
  </si>
  <si>
    <t>Sao Tome and Principe</t>
  </si>
  <si>
    <t>ST</t>
  </si>
  <si>
    <t>SA</t>
  </si>
  <si>
    <t>SN</t>
  </si>
  <si>
    <t>RS</t>
  </si>
  <si>
    <t>SC</t>
  </si>
  <si>
    <t>SL</t>
  </si>
  <si>
    <t>SG</t>
  </si>
  <si>
    <t>Slovakia</t>
  </si>
  <si>
    <t>SK</t>
  </si>
  <si>
    <t>Slovenia</t>
  </si>
  <si>
    <t>SI</t>
  </si>
  <si>
    <t>Solomon Islands</t>
  </si>
  <si>
    <t>SB</t>
  </si>
  <si>
    <t>SO</t>
  </si>
  <si>
    <t>ZA</t>
  </si>
  <si>
    <t>South Sudan</t>
  </si>
  <si>
    <t>SS</t>
  </si>
  <si>
    <t>Spain</t>
  </si>
  <si>
    <t>ES</t>
  </si>
  <si>
    <t>LK</t>
  </si>
  <si>
    <t>SD</t>
  </si>
  <si>
    <t>Suriname</t>
  </si>
  <si>
    <t>SR</t>
  </si>
  <si>
    <t>SE</t>
  </si>
  <si>
    <t>CH</t>
  </si>
  <si>
    <t>SY</t>
  </si>
  <si>
    <t>Taiwan</t>
  </si>
  <si>
    <t>TW</t>
  </si>
  <si>
    <t>TJ</t>
  </si>
  <si>
    <t>TZ</t>
  </si>
  <si>
    <t>TH</t>
  </si>
  <si>
    <t>TL</t>
  </si>
  <si>
    <t>TG</t>
  </si>
  <si>
    <t>Tonga</t>
  </si>
  <si>
    <t>TO</t>
  </si>
  <si>
    <t>TT</t>
  </si>
  <si>
    <t>TN</t>
  </si>
  <si>
    <t>Turkey</t>
  </si>
  <si>
    <t>TR</t>
  </si>
  <si>
    <t>TM</t>
  </si>
  <si>
    <t>Tuvalu</t>
  </si>
  <si>
    <t>TV</t>
  </si>
  <si>
    <t>UG</t>
  </si>
  <si>
    <t>UA</t>
  </si>
  <si>
    <t>AE</t>
  </si>
  <si>
    <t>United Kingdom</t>
  </si>
  <si>
    <t>GB</t>
  </si>
  <si>
    <t>United States</t>
  </si>
  <si>
    <t>US</t>
  </si>
  <si>
    <t>UY</t>
  </si>
  <si>
    <t>UZ</t>
  </si>
  <si>
    <t>VU</t>
  </si>
  <si>
    <t>Vatican City</t>
  </si>
  <si>
    <t>VA</t>
  </si>
  <si>
    <t>Venezuela</t>
  </si>
  <si>
    <t>VE</t>
  </si>
  <si>
    <t>VN</t>
  </si>
  <si>
    <t>YE</t>
  </si>
  <si>
    <t>ZM</t>
  </si>
  <si>
    <t>ZW</t>
  </si>
  <si>
    <t>Submitted DNAs</t>
  </si>
  <si>
    <t>Alternative spelling</t>
  </si>
  <si>
    <t>ISO 2</t>
  </si>
  <si>
    <t>Bolivia (Plurinational State of)</t>
  </si>
  <si>
    <t>Brunei Darussalam</t>
  </si>
  <si>
    <t>Cook Islands</t>
  </si>
  <si>
    <t>Democratic People's Republic of Korea</t>
  </si>
  <si>
    <t>Democratic Republic of the Congo</t>
  </si>
  <si>
    <t>European Union</t>
  </si>
  <si>
    <t>Holy See</t>
  </si>
  <si>
    <t>Iran (Islamic Republic of)</t>
  </si>
  <si>
    <t>Lao People's Democratic Republic</t>
  </si>
  <si>
    <t>Micronesia (Federated States of)</t>
  </si>
  <si>
    <t>Niue</t>
  </si>
  <si>
    <t>Republic of Moldova</t>
  </si>
  <si>
    <t>Russian Federation</t>
  </si>
  <si>
    <t>Syrian Arab Republic</t>
  </si>
  <si>
    <t>Türkiye</t>
  </si>
  <si>
    <t>United Kingdom of Great Britain and Northern Ireland</t>
  </si>
  <si>
    <t>United Republic of Tanzania</t>
  </si>
  <si>
    <t>United States of America</t>
  </si>
  <si>
    <t>Venezuela (Bolivarian Republic of)</t>
  </si>
  <si>
    <t>Viet Nam</t>
  </si>
  <si>
    <t>CK</t>
  </si>
  <si>
    <t>EU</t>
  </si>
  <si>
    <t>NU</t>
  </si>
  <si>
    <t>PS</t>
  </si>
  <si>
    <t>Australasia</t>
  </si>
  <si>
    <t>Ghana, Dominica, Malawi, Morocco, Peru, Senegal</t>
  </si>
  <si>
    <t>Switzerland, Swiss private sector</t>
  </si>
  <si>
    <t>Volume (Million USD): Potentially 550-1100
(over 10 years)</t>
  </si>
  <si>
    <t>KliK Foundation for Climate Protection and Carbon Offset - Article 6 activity development</t>
  </si>
  <si>
    <t>Joint Crediting Mechanism - Article 6 activity development</t>
  </si>
  <si>
    <t>Mongolia, Bangladesh, Ethiopia, Kenya, Maldives, Vietnam, Laos, Indonesia, Costa Rica, Palau, Cambodia, Mexico, Saudi Arabia, Chile, Myanmar, Thailand and Philippines</t>
  </si>
  <si>
    <t>Australia, Canada, EU, Finland, Germany, Japan, Norway, Spain, Sweden, Switzerland, UK</t>
  </si>
  <si>
    <t>World Bank’s Carbon Partnership Facility - 
Integration of Art 6 into NDC implementation, SD agenda and longterm strategy
National governance of Article 6</t>
  </si>
  <si>
    <t>World Bank’s PMI (previously PMR) -
Integration of Art 6 into NDC implementation, SD agenda and longterm strategy National governance of Article 6</t>
  </si>
  <si>
    <t>Country governments, private investors, project developers</t>
  </si>
  <si>
    <t>Carbon Asset Development Fund, EU, Italy, Norway, Spain, Sweden</t>
  </si>
  <si>
    <t>World Bank</t>
  </si>
  <si>
    <t>https://www.perspectives.cc/public/fileadmin/user_upload/CMM-WG_discussion_paper_CB_for_Art6_cooperation_042022.pdf
Mentions: Host countries are six countries, and the funding comes from Canada, Germany, Norway, Sweden, Switzerland, UK. The funding volume is USD$2012 M</t>
  </si>
  <si>
    <t>Capacity-building Initiative for Transparency (CBIT)</t>
  </si>
  <si>
    <t xml:space="preserve">Annex II countries </t>
  </si>
  <si>
    <t>ICAT</t>
  </si>
  <si>
    <t>Children’s Investment Fund Foundation, climateworks Foundation, Austria, Canada, Germani, Italy</t>
  </si>
  <si>
    <t>UNEP, UNOPS, WRI, ISPRA, ghg management institute, Aether, CCAP, Climate SI, Gauss Int, Ricardo, CITEPA</t>
  </si>
  <si>
    <t>Oeko Intsitut, New Climate, FOKABS</t>
  </si>
  <si>
    <t>https://pmiclimate.org/</t>
  </si>
  <si>
    <t>Volume (Million USD): 250 (for 10 years)
Data from: https://www.perspectives.cc/public/fileadmin/user_upload/CMM-WG_discussion_paper_CB_for_Art6_cooperation_042022.pdf</t>
  </si>
  <si>
    <t>Volume (Million USD): 6,300
Data from: https://www.perspectives.cc/public/fileadmin/user_upload/CMM-WG_discussion_paper_CB_for_Art6_cooperation_042022.pdf</t>
  </si>
  <si>
    <t>Volume (Million USD): 151
Data from: https://www.perspectives.cc/public/fileadmin/user_upload/CMM-WG_discussion_paper_CB_for_Art6_cooperation_042022.pdf</t>
  </si>
  <si>
    <t>Volume (Million USD): 56 (2018-2022)
Data from: https://www.perspectives.cc/public/fileadmin/user_upload/CMM-WG_discussion_paper_CB_for_Art6_cooperation_042022.pdf</t>
  </si>
  <si>
    <t>Volume (Million USD): 35 (2021-2026)
Data from: https://www.perspectives.cc/public/fileadmin/user_upload/CMM-WG_discussion_paper_CB_for_Art6_cooperation_042022.pdf</t>
  </si>
  <si>
    <t>https://www.klik.ch/en</t>
  </si>
  <si>
    <t>https://www.jcm.go.jp/</t>
  </si>
  <si>
    <t>https://cpf.wbcarbonfinance.org/</t>
  </si>
  <si>
    <t>https://www.cbitplatform.org/about</t>
  </si>
  <si>
    <t>GEF, UNEP, UNDP,</t>
  </si>
  <si>
    <t>NDC Partnership</t>
  </si>
  <si>
    <t>Belgium, Denmark, European Bank for Reconstruction and Development, Germany, IRENA, Netherlands, Norway, Sweden, UNDP, US</t>
  </si>
  <si>
    <t>https://ndcpartnership.org/</t>
  </si>
  <si>
    <t>Volume (Million USD): 33
Data from: https://www.perspectives.cc/public/fileadmin/user_upload/CMM-WG_discussion_paper_CB_for_Art6_cooperation_042022.pdf</t>
  </si>
  <si>
    <t xml:space="preserve">Climate Cent Foundation </t>
  </si>
  <si>
    <t>Mexico, Peru, Thailand</t>
  </si>
  <si>
    <t>https://www.klimarappen.ch/en/.48.html</t>
  </si>
  <si>
    <t>Activities took place from 2005-2022
Volume (Million USD): 20
Data from: https://www.perspectives.cc/public/fileadmin/user_upload/CMM-WG_discussion_paper_CB_for_Art6_cooperation_042022.pdf</t>
  </si>
  <si>
    <t>Mozambique, Uganda, Zambia, Zimbabwe</t>
  </si>
  <si>
    <t>Volume (Million USD): 5,9
Data from: https://www.perspectives.cc/public/fileadmin/user_upload/CMM-WG_discussion_paper_CB_for_Art6_cooperation_042022.pdf</t>
  </si>
  <si>
    <t>Pilot Program for Article 6 'Energy Efficiency Measures to Reduce TD Losses In Mozambique, Uganda, Zambia and Zimbabwe</t>
  </si>
  <si>
    <t>UNFCCC</t>
  </si>
  <si>
    <t xml:space="preserve">Chile-Canada Agreement on Environment Cooperation </t>
  </si>
  <si>
    <t>https://www.canada.ca/en/environment-climate-change/corporate/international-affairs/partnerships-countries-regions/latin-america-caribbean/canada-chile-environmental-cooperation.html</t>
  </si>
  <si>
    <t>Volume (Million USD): 5.3
Data from: https://www.perspectives.cc/public/fileadmin/user_upload/CMM-WG_discussion_paper_CB_for_Art6_cooperation_042022.pdf</t>
  </si>
  <si>
    <t>BMU, UNFCCC</t>
  </si>
  <si>
    <t>Environment and Climate Change Canada</t>
  </si>
  <si>
    <t>Global Affairs Canada</t>
  </si>
  <si>
    <t>West African Alliance on Carbon Markets and Climate Finance (WAA)</t>
  </si>
  <si>
    <t>16 West African countries</t>
  </si>
  <si>
    <t>https://westafricaclimatealliance.org/</t>
  </si>
  <si>
    <t>Volume (Million USD): 2.8
Data from: https://www.perspectives.cc/public/fileadmin/user_upload/CMM-WG_discussion_paper_CB_for_Art6_cooperation_042022.pdf</t>
  </si>
  <si>
    <t>BMWK, BOAD</t>
  </si>
  <si>
    <t>Article 6 Early-Mover Programme</t>
  </si>
  <si>
    <t>Global (Project developers,
government officials or
other stakeholders)</t>
  </si>
  <si>
    <t>Gold Standard</t>
  </si>
  <si>
    <t>https://www.goldstandard.org/blog-item/article-6-early-mover-programme</t>
  </si>
  <si>
    <t>Thr programme ran until the end of 2022</t>
  </si>
  <si>
    <t>Collaborative Instruments for Ambitious Climate Action (CiACA) Initiative</t>
  </si>
  <si>
    <t>ASEAN, Dominican Republic, East Africa, Ghana, Jamaica, Paksitan, Panama, Senegal</t>
  </si>
  <si>
    <t>Annex II countries</t>
  </si>
  <si>
    <t>https://unfccc.int/about-us/regional-collaboration-centres/the-collaborative-instruments-for-ambitious-climate-action-ciaca</t>
  </si>
  <si>
    <t>RCCs and in country partners</t>
  </si>
  <si>
    <t>The initiative ran until 2021</t>
  </si>
  <si>
    <t>Eastern Africa Alliance on Carbon Markets and Climate Finance (EEA)</t>
  </si>
  <si>
    <t>7 East African member
countries</t>
  </si>
  <si>
    <t>Linked to Building up the global carbon market in East Africa (number 18 on this list)</t>
  </si>
  <si>
    <t>https://easternafricaalliance.org/</t>
  </si>
  <si>
    <t>BMWK, GIZ</t>
  </si>
  <si>
    <t>RCC (UNFCCC), Climate Finance Innovators</t>
  </si>
  <si>
    <t>Nordic Environment Finance Corporation (NEFCO) activities</t>
  </si>
  <si>
    <t>Finland, Norway, Sweden, NEFCO</t>
  </si>
  <si>
    <t>https://www.nefco.int/financing/other-regions/nordic-initiative-for-cooperative-approaches/nefco-carbon-market-activities/previous-nefco-carbon-financing-activities/</t>
  </si>
  <si>
    <t>Activities ended in 2021</t>
  </si>
  <si>
    <t>NEFCO</t>
  </si>
  <si>
    <t>Finland, Germany, Norway and Sweden</t>
  </si>
  <si>
    <t>UNEP CCC, Wuppertal Institut</t>
  </si>
  <si>
    <t>Sustainable Development Initiative</t>
  </si>
  <si>
    <t>https://unepccc.org/project/sustainable-development-dialogue-on-the-implementation-of-article-6-of-the-paris-agreement-under-the-unfccc-process/</t>
  </si>
  <si>
    <t>aecid, EU, Germany, Italy, Sida, Sweden, UNEP’s core donors</t>
  </si>
  <si>
    <t>https://climatepromise.undp.org/tags/ndc-support-programme</t>
  </si>
  <si>
    <t>The programme will finish in 2023</t>
  </si>
  <si>
    <t>NDC Support Programme</t>
  </si>
  <si>
    <t>Annex I and Non-Annex I countries</t>
  </si>
  <si>
    <t>Netherlands, Spain, Sweden, Switzerland</t>
  </si>
  <si>
    <t>The current club members are:
The governments of Bangladesh, Bhutan, Chile, Ghana, Kazakhstan, Japan, Peru, Rwanda, Senegal, Singapore, Sweden, Switzerland, Ukraine, and Namibia. 
The following non-sovereign entities: KliK Foundation, Global Green Growth Institute, Temasek, Institute for Global Environmental Strategies, and United Nations Development Programme</t>
  </si>
  <si>
    <t>MDB Working Group (WB)</t>
  </si>
  <si>
    <t>https://www.theclimatewarehouse.org/work/climate-market-club</t>
  </si>
  <si>
    <t>Mitigation Action Assessment Protocol (MAAP) International Transfer Readiness</t>
  </si>
  <si>
    <t>https://maap.worldbank.org/#/homepage</t>
  </si>
  <si>
    <t>Standardized Crediting Framework</t>
  </si>
  <si>
    <t>Burkina Faso, Ethiopia, Kenya, Lao PDR, Madagascar, Mali, Uganda, Senegal, Rwanda</t>
  </si>
  <si>
    <t>Donors of the Carbon Initiative for Development (Ci-Dev)</t>
  </si>
  <si>
    <t>https://www.ci-dev.org/standardized-crediting-framework</t>
  </si>
  <si>
    <t xml:space="preserve"> Department for Energy Security &amp; Net Zero (DESNZ), Climate Cent Foundation, and the Swedish Energy Agency.</t>
  </si>
  <si>
    <t>Indonesia, Morocco, Senegal, Vietnam</t>
  </si>
  <si>
    <t>Coordinating Ministry of Economic Affairs (CMEA), Ministry of Energy Transition, Sustainable Development (METSD), Ministry of Environment and Sustainable Development (MEDD), Government if Vietnam (GoV)</t>
  </si>
  <si>
    <t>Cambodia, Nepal, two additional countries</t>
  </si>
  <si>
    <t>Ministry of Environment (MOE), Ministry of Forests and Environment (MOFE), tbd</t>
  </si>
  <si>
    <t>Colombia, Pakistan, Thailand, Zambia</t>
  </si>
  <si>
    <t>Ministry of Environment and Sustainable Development, Ministry of Climate Change (MoCC), Office of Natural Resources and Environmental Policy Planning (ONEP), Ministry of Green Economy &amp; Environment</t>
  </si>
  <si>
    <t>https://gggi.org/global-program/carbon-pricing-unit-cpu/, https://unepccc.org/project/supporting-preparedness-for-article-6-cooperation-programme/</t>
  </si>
  <si>
    <t>tbd</t>
  </si>
  <si>
    <t>Global (40 countries)</t>
  </si>
  <si>
    <t>Integrated Assessment for Article 6</t>
  </si>
  <si>
    <t>European Commission (DG CLIMA)</t>
  </si>
  <si>
    <t>UNEP CCC</t>
  </si>
  <si>
    <t>Integrated Assessment for Article 6 (IAA6) – UNEP-CCC (unepccc.org)</t>
  </si>
  <si>
    <t>karen.olsen@un.org</t>
  </si>
  <si>
    <t>3 countries (tbd)</t>
  </si>
  <si>
    <t>Initiative developing tools and building capacity for the strategic use of cooperative approaches under Article 6, enabling increased climate ambition and promoting sustainable development.</t>
  </si>
  <si>
    <t>Designated National Authority for Article 6.4 Mechanism | UNFCCC</t>
  </si>
  <si>
    <t xml:space="preserve">Source: </t>
  </si>
  <si>
    <t>Ministry of Natural Resources and Climate Change
Private Bag 394, LILONGWE 3. Malawi</t>
  </si>
  <si>
    <t>Mr Chimwemwe Yonasi
(+265) 999 317 746
cyonasi@gmail.com
Ms Shamiso Nandi Najira
(+265) 999 895 000
shamiso_b@yahoo.com</t>
  </si>
  <si>
    <t>Mr. San Win
+9567 431 561 and +9567 431 325
drsanwin.evcc@gmail.com; sanwin.ecd@gmail.com; sanwin.ecd.mm@gmail.com</t>
  </si>
  <si>
    <t>Secretary of Climate Change of the Presidency 
Avenida Bolivar a Chavez costado sur de la Asamblea Nacional, Edificio SEPRES, Tercer Piso, Managua, Nicaragua</t>
  </si>
  <si>
    <t>Mr. Javier Antonio Gutiérrez Ramírez
+505 222 867 25 
xaviergut@gmail.com; secretario.sccp@sepres.gob.ni</t>
  </si>
  <si>
    <t>Grand Total</t>
  </si>
  <si>
    <t>Pilot Projects</t>
  </si>
  <si>
    <t>Share</t>
  </si>
  <si>
    <t>Host country information</t>
  </si>
  <si>
    <t>Table 2. Number of pilot activities by types</t>
  </si>
  <si>
    <t xml:space="preserve">Table 3. Number of bilaterial agreements by buying country </t>
  </si>
  <si>
    <t>Table 4. Number of bilateral agreements by host country region</t>
  </si>
  <si>
    <t>Table 5. JCM projects by status</t>
  </si>
  <si>
    <t>Table 6. JCM projects by type</t>
  </si>
  <si>
    <t>Table 7. Number of projects by region</t>
  </si>
  <si>
    <t>Table 8. Number of projects by expected annual emissions reduction</t>
  </si>
  <si>
    <t>Table 1. Bilateral Agreements (BA) between countries on Article 6 of the Paris Agreement and number of projects/activities within the framework of those BAs</t>
  </si>
  <si>
    <t xml:space="preserve">This Pipeline was produced by UNEP Copenhagen Climate Centre, 2 September 2023. For any questions, please contact Aiymgul.kerimray@un.org, Jorge.ortigosa@un.org and Jannick.leukers@un.org. </t>
  </si>
  <si>
    <t>Article 6 Capacity Building and technical support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</si>
</sst>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00_k_r_._-;\-* #,##0.00_k_r_._-;_-* &quot;-&quot;??_k_r_._-;_-@_-"/>
    <numFmt numFmtId="166" formatCode="[$-409]dd\-mmm\-yy;@"/>
    <numFmt numFmtId="167" formatCode="[$-409]d\-mmm\-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u/>
      <sz val="11"/>
      <color theme="10"/>
      <name val="Calibri"/>
      <family val="2"/>
    </font>
    <font>
      <sz val="11"/>
      <name val="Times New Roman"/>
      <family val="1"/>
    </font>
    <font>
      <b/>
      <sz val="11"/>
      <name val="Times New Roman"/>
      <family val="1"/>
    </font>
    <font>
      <u/>
      <sz val="10"/>
      <color theme="10"/>
      <name val="Arial"/>
      <family val="2"/>
    </font>
    <font>
      <b/>
      <sz val="14"/>
      <name val="Times New Roman"/>
      <family val="1"/>
    </font>
    <font>
      <u/>
      <sz val="10"/>
      <color rgb="FF0000FF"/>
      <name val="Arial"/>
      <family val="2"/>
    </font>
    <font>
      <sz val="11"/>
      <color rgb="FF0000FF"/>
      <name val="Times New Roman"/>
      <family val="1"/>
    </font>
    <font>
      <sz val="8"/>
      <name val="Arial"/>
      <family val="2"/>
    </font>
    <font>
      <b/>
      <sz val="10"/>
      <name val="Times New Roman"/>
      <family val="1"/>
    </font>
    <font>
      <sz val="10"/>
      <name val="Times New Roman"/>
      <family val="1"/>
    </font>
    <font>
      <sz val="10"/>
      <color rgb="FF424245"/>
      <name val="Times New Roman"/>
      <family val="1"/>
    </font>
    <font>
      <sz val="8"/>
      <name val="Arial"/>
      <family val="2"/>
      <charset val="204"/>
    </font>
    <font>
      <b/>
      <sz val="11"/>
      <name val="Times New Roman"/>
      <family val="1"/>
      <charset val="204"/>
    </font>
    <font>
      <sz val="11"/>
      <name val="Times New Roman"/>
      <family val="1"/>
      <charset val="204"/>
    </font>
    <font>
      <u/>
      <sz val="11"/>
      <color theme="10"/>
      <name val="Times New Roman"/>
      <family val="1"/>
      <charset val="204"/>
    </font>
    <font>
      <u/>
      <sz val="10"/>
      <color theme="10"/>
      <name val="Times New Roman"/>
      <family val="1"/>
      <charset val="204"/>
    </font>
    <font>
      <sz val="10"/>
      <name val="Arial"/>
      <family val="2"/>
    </font>
    <font>
      <b/>
      <sz val="11"/>
      <color theme="1"/>
      <name val="Calibri"/>
      <family val="2"/>
      <scheme val="minor"/>
    </font>
    <font>
      <b/>
      <sz val="11"/>
      <color theme="0"/>
      <name val="Calibri"/>
      <family val="2"/>
      <scheme val="minor"/>
    </font>
    <font>
      <b/>
      <sz val="11"/>
      <name val="Calibri Light"/>
      <family val="2"/>
    </font>
    <font>
      <sz val="11"/>
      <name val="Calibri Light"/>
      <family val="2"/>
    </font>
    <font>
      <u/>
      <sz val="9"/>
      <color theme="10"/>
      <name val="Calibri Light"/>
      <family val="2"/>
    </font>
    <font>
      <b/>
      <sz val="10"/>
      <color theme="1"/>
      <name val="Times New Roman"/>
      <family val="1"/>
    </font>
    <font>
      <sz val="10"/>
      <color rgb="FFFF0000"/>
      <name val="Times New Roman"/>
      <family val="1"/>
    </font>
    <font>
      <sz val="11"/>
      <color theme="0"/>
      <name val="Calibri"/>
      <family val="2"/>
      <scheme val="minor"/>
    </font>
    <font>
      <sz val="11"/>
      <name val="Calibri"/>
      <family val="2"/>
      <scheme val="minor"/>
    </font>
    <font>
      <b/>
      <sz val="11"/>
      <name val="Calibri"/>
      <family val="2"/>
      <scheme val="minor"/>
    </font>
    <font>
      <b/>
      <sz val="11"/>
      <color theme="1"/>
      <name val="Times New Roman"/>
      <family val="1"/>
    </font>
    <font>
      <sz val="11"/>
      <color theme="1"/>
      <name val="Times New Roman"/>
      <family val="1"/>
      <charset val="204"/>
    </font>
    <font>
      <b/>
      <sz val="11"/>
      <color theme="1"/>
      <name val="Times New Roman"/>
      <family val="1"/>
      <charset val="204"/>
    </font>
    <font>
      <u/>
      <sz val="10"/>
      <color theme="10"/>
      <name val="Times New Roman"/>
      <family val="1"/>
    </font>
    <font>
      <sz val="8"/>
      <color theme="0"/>
      <name val="Times New Roman"/>
      <family val="1"/>
    </font>
    <font>
      <b/>
      <sz val="10"/>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9"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01">
    <xf numFmtId="166" fontId="0" fillId="0" borderId="0"/>
    <xf numFmtId="166" fontId="8" fillId="2" borderId="0" applyNumberFormat="0" applyBorder="0" applyAlignment="0" applyProtection="0"/>
    <xf numFmtId="166" fontId="8" fillId="3" borderId="0" applyNumberFormat="0" applyBorder="0" applyAlignment="0" applyProtection="0"/>
    <xf numFmtId="166" fontId="8" fillId="4" borderId="0" applyNumberFormat="0" applyBorder="0" applyAlignment="0" applyProtection="0"/>
    <xf numFmtId="166" fontId="8" fillId="5" borderId="0" applyNumberFormat="0" applyBorder="0" applyAlignment="0" applyProtection="0"/>
    <xf numFmtId="166" fontId="8" fillId="6" borderId="0" applyNumberFormat="0" applyBorder="0" applyAlignment="0" applyProtection="0"/>
    <xf numFmtId="166" fontId="8" fillId="7" borderId="0" applyNumberFormat="0" applyBorder="0" applyAlignment="0" applyProtection="0"/>
    <xf numFmtId="166" fontId="8" fillId="8" borderId="0" applyNumberFormat="0" applyBorder="0" applyAlignment="0" applyProtection="0"/>
    <xf numFmtId="166" fontId="8" fillId="9" borderId="0" applyNumberFormat="0" applyBorder="0" applyAlignment="0" applyProtection="0"/>
    <xf numFmtId="166" fontId="8" fillId="10" borderId="0" applyNumberFormat="0" applyBorder="0" applyAlignment="0" applyProtection="0"/>
    <xf numFmtId="166" fontId="8" fillId="5" borderId="0" applyNumberFormat="0" applyBorder="0" applyAlignment="0" applyProtection="0"/>
    <xf numFmtId="166" fontId="8" fillId="8" borderId="0" applyNumberFormat="0" applyBorder="0" applyAlignment="0" applyProtection="0"/>
    <xf numFmtId="166" fontId="8" fillId="11" borderId="0" applyNumberFormat="0" applyBorder="0" applyAlignment="0" applyProtection="0"/>
    <xf numFmtId="166" fontId="9" fillId="12" borderId="0" applyNumberFormat="0" applyBorder="0" applyAlignment="0" applyProtection="0"/>
    <xf numFmtId="166" fontId="9" fillId="9" borderId="0" applyNumberFormat="0" applyBorder="0" applyAlignment="0" applyProtection="0"/>
    <xf numFmtId="166" fontId="9" fillId="10" borderId="0" applyNumberFormat="0" applyBorder="0" applyAlignment="0" applyProtection="0"/>
    <xf numFmtId="166" fontId="9" fillId="13" borderId="0" applyNumberFormat="0" applyBorder="0" applyAlignment="0" applyProtection="0"/>
    <xf numFmtId="166" fontId="9" fillId="14" borderId="0" applyNumberFormat="0" applyBorder="0" applyAlignment="0" applyProtection="0"/>
    <xf numFmtId="166" fontId="9" fillId="15" borderId="0" applyNumberFormat="0" applyBorder="0" applyAlignment="0" applyProtection="0"/>
    <xf numFmtId="166" fontId="9" fillId="16" borderId="0" applyNumberFormat="0" applyBorder="0" applyAlignment="0" applyProtection="0"/>
    <xf numFmtId="166" fontId="9" fillId="17" borderId="0" applyNumberFormat="0" applyBorder="0" applyAlignment="0" applyProtection="0"/>
    <xf numFmtId="166" fontId="9" fillId="18" borderId="0" applyNumberFormat="0" applyBorder="0" applyAlignment="0" applyProtection="0"/>
    <xf numFmtId="166" fontId="9" fillId="13" borderId="0" applyNumberFormat="0" applyBorder="0" applyAlignment="0" applyProtection="0"/>
    <xf numFmtId="166" fontId="9" fillId="14" borderId="0" applyNumberFormat="0" applyBorder="0" applyAlignment="0" applyProtection="0"/>
    <xf numFmtId="166" fontId="9" fillId="19" borderId="0" applyNumberFormat="0" applyBorder="0" applyAlignment="0" applyProtection="0"/>
    <xf numFmtId="166" fontId="10" fillId="3" borderId="0" applyNumberFormat="0" applyBorder="0" applyAlignment="0" applyProtection="0"/>
    <xf numFmtId="166" fontId="11" fillId="20" borderId="1" applyNumberFormat="0" applyAlignment="0" applyProtection="0"/>
    <xf numFmtId="166" fontId="12" fillId="21" borderId="2" applyNumberFormat="0" applyAlignment="0" applyProtection="0"/>
    <xf numFmtId="166" fontId="13" fillId="0" borderId="0" applyNumberFormat="0" applyFill="0" applyBorder="0" applyAlignment="0" applyProtection="0"/>
    <xf numFmtId="166" fontId="14" fillId="4" borderId="0" applyNumberFormat="0" applyBorder="0" applyAlignment="0" applyProtection="0"/>
    <xf numFmtId="166" fontId="15" fillId="0" borderId="3" applyNumberFormat="0" applyFill="0" applyAlignment="0" applyProtection="0"/>
    <xf numFmtId="166" fontId="16" fillId="0" borderId="4" applyNumberFormat="0" applyFill="0" applyAlignment="0" applyProtection="0"/>
    <xf numFmtId="166" fontId="17" fillId="0" borderId="5" applyNumberFormat="0" applyFill="0" applyAlignment="0" applyProtection="0"/>
    <xf numFmtId="166" fontId="17" fillId="0" borderId="0" applyNumberFormat="0" applyFill="0" applyBorder="0" applyAlignment="0" applyProtection="0"/>
    <xf numFmtId="166" fontId="18" fillId="7" borderId="1" applyNumberFormat="0" applyAlignment="0" applyProtection="0"/>
    <xf numFmtId="166" fontId="19" fillId="0" borderId="6" applyNumberFormat="0" applyFill="0" applyAlignment="0" applyProtection="0"/>
    <xf numFmtId="166" fontId="20" fillId="22" borderId="0" applyNumberFormat="0" applyBorder="0" applyAlignment="0" applyProtection="0"/>
    <xf numFmtId="166" fontId="6" fillId="0" borderId="0"/>
    <xf numFmtId="166" fontId="7" fillId="23" borderId="7" applyNumberFormat="0" applyFont="0" applyAlignment="0" applyProtection="0"/>
    <xf numFmtId="166" fontId="21" fillId="20" borderId="8" applyNumberFormat="0" applyAlignment="0" applyProtection="0"/>
    <xf numFmtId="166" fontId="22" fillId="0" borderId="0" applyNumberFormat="0" applyFill="0" applyBorder="0" applyAlignment="0" applyProtection="0"/>
    <xf numFmtId="166" fontId="23" fillId="0" borderId="9" applyNumberFormat="0" applyFill="0" applyAlignment="0" applyProtection="0"/>
    <xf numFmtId="166" fontId="24" fillId="0" borderId="0" applyNumberFormat="0" applyFill="0" applyBorder="0" applyAlignment="0" applyProtection="0"/>
    <xf numFmtId="166" fontId="6" fillId="23" borderId="7" applyNumberFormat="0" applyFont="0" applyAlignment="0" applyProtection="0"/>
    <xf numFmtId="9" fontId="6" fillId="0" borderId="0" applyFont="0" applyFill="0" applyBorder="0" applyAlignment="0" applyProtection="0"/>
    <xf numFmtId="164" fontId="6" fillId="0" borderId="0" applyFont="0" applyFill="0" applyBorder="0" applyAlignment="0" applyProtection="0"/>
    <xf numFmtId="166" fontId="6" fillId="0" borderId="0"/>
    <xf numFmtId="166" fontId="6" fillId="0" borderId="0"/>
    <xf numFmtId="166" fontId="6" fillId="0" borderId="0"/>
    <xf numFmtId="0" fontId="5" fillId="0" borderId="0"/>
    <xf numFmtId="0" fontId="26" fillId="0" borderId="0" applyNumberFormat="0" applyFill="0" applyBorder="0" applyAlignment="0" applyProtection="0">
      <alignment vertical="top"/>
      <protection locked="0"/>
    </xf>
    <xf numFmtId="166" fontId="6" fillId="0" borderId="0"/>
    <xf numFmtId="166" fontId="8" fillId="2" borderId="0" applyNumberFormat="0" applyBorder="0" applyAlignment="0" applyProtection="0"/>
    <xf numFmtId="166" fontId="8" fillId="3" borderId="0" applyNumberFormat="0" applyBorder="0" applyAlignment="0" applyProtection="0"/>
    <xf numFmtId="166" fontId="8" fillId="4" borderId="0" applyNumberFormat="0" applyBorder="0" applyAlignment="0" applyProtection="0"/>
    <xf numFmtId="166" fontId="8" fillId="5" borderId="0" applyNumberFormat="0" applyBorder="0" applyAlignment="0" applyProtection="0"/>
    <xf numFmtId="166" fontId="8" fillId="6" borderId="0" applyNumberFormat="0" applyBorder="0" applyAlignment="0" applyProtection="0"/>
    <xf numFmtId="166" fontId="8" fillId="7" borderId="0" applyNumberFormat="0" applyBorder="0" applyAlignment="0" applyProtection="0"/>
    <xf numFmtId="166" fontId="8" fillId="8" borderId="0" applyNumberFormat="0" applyBorder="0" applyAlignment="0" applyProtection="0"/>
    <xf numFmtId="166" fontId="8" fillId="9" borderId="0" applyNumberFormat="0" applyBorder="0" applyAlignment="0" applyProtection="0"/>
    <xf numFmtId="166" fontId="8" fillId="10" borderId="0" applyNumberFormat="0" applyBorder="0" applyAlignment="0" applyProtection="0"/>
    <xf numFmtId="166" fontId="8" fillId="5" borderId="0" applyNumberFormat="0" applyBorder="0" applyAlignment="0" applyProtection="0"/>
    <xf numFmtId="166" fontId="8" fillId="8" borderId="0" applyNumberFormat="0" applyBorder="0" applyAlignment="0" applyProtection="0"/>
    <xf numFmtId="166" fontId="8" fillId="11" borderId="0" applyNumberFormat="0" applyBorder="0" applyAlignment="0" applyProtection="0"/>
    <xf numFmtId="166" fontId="9" fillId="12" borderId="0" applyNumberFormat="0" applyBorder="0" applyAlignment="0" applyProtection="0"/>
    <xf numFmtId="166" fontId="9" fillId="9" borderId="0" applyNumberFormat="0" applyBorder="0" applyAlignment="0" applyProtection="0"/>
    <xf numFmtId="166" fontId="9" fillId="10" borderId="0" applyNumberFormat="0" applyBorder="0" applyAlignment="0" applyProtection="0"/>
    <xf numFmtId="166" fontId="9" fillId="13" borderId="0" applyNumberFormat="0" applyBorder="0" applyAlignment="0" applyProtection="0"/>
    <xf numFmtId="166" fontId="9" fillId="14" borderId="0" applyNumberFormat="0" applyBorder="0" applyAlignment="0" applyProtection="0"/>
    <xf numFmtId="166" fontId="9" fillId="15" borderId="0" applyNumberFormat="0" applyBorder="0" applyAlignment="0" applyProtection="0"/>
    <xf numFmtId="166" fontId="9" fillId="16" borderId="0" applyNumberFormat="0" applyBorder="0" applyAlignment="0" applyProtection="0"/>
    <xf numFmtId="166" fontId="9" fillId="17" borderId="0" applyNumberFormat="0" applyBorder="0" applyAlignment="0" applyProtection="0"/>
    <xf numFmtId="166" fontId="9" fillId="18" borderId="0" applyNumberFormat="0" applyBorder="0" applyAlignment="0" applyProtection="0"/>
    <xf numFmtId="166" fontId="9" fillId="13" borderId="0" applyNumberFormat="0" applyBorder="0" applyAlignment="0" applyProtection="0"/>
    <xf numFmtId="166" fontId="9" fillId="14" borderId="0" applyNumberFormat="0" applyBorder="0" applyAlignment="0" applyProtection="0"/>
    <xf numFmtId="166" fontId="9" fillId="19" borderId="0" applyNumberFormat="0" applyBorder="0" applyAlignment="0" applyProtection="0"/>
    <xf numFmtId="166" fontId="10" fillId="3" borderId="0" applyNumberFormat="0" applyBorder="0" applyAlignment="0" applyProtection="0"/>
    <xf numFmtId="166" fontId="11" fillId="20" borderId="1" applyNumberFormat="0" applyAlignment="0" applyProtection="0"/>
    <xf numFmtId="166" fontId="12" fillId="21" borderId="2" applyNumberFormat="0" applyAlignment="0" applyProtection="0"/>
    <xf numFmtId="166" fontId="13" fillId="0" borderId="0" applyNumberFormat="0" applyFill="0" applyBorder="0" applyAlignment="0" applyProtection="0"/>
    <xf numFmtId="166" fontId="14" fillId="4" borderId="0" applyNumberFormat="0" applyBorder="0" applyAlignment="0" applyProtection="0"/>
    <xf numFmtId="166" fontId="15" fillId="0" borderId="3" applyNumberFormat="0" applyFill="0" applyAlignment="0" applyProtection="0"/>
    <xf numFmtId="166" fontId="16" fillId="0" borderId="4" applyNumberFormat="0" applyFill="0" applyAlignment="0" applyProtection="0"/>
    <xf numFmtId="166" fontId="17" fillId="0" borderId="5" applyNumberFormat="0" applyFill="0" applyAlignment="0" applyProtection="0"/>
    <xf numFmtId="166" fontId="17" fillId="0" borderId="0" applyNumberFormat="0" applyFill="0" applyBorder="0" applyAlignment="0" applyProtection="0"/>
    <xf numFmtId="166" fontId="18" fillId="7" borderId="1" applyNumberFormat="0" applyAlignment="0" applyProtection="0"/>
    <xf numFmtId="166" fontId="19" fillId="0" borderId="6" applyNumberFormat="0" applyFill="0" applyAlignment="0" applyProtection="0"/>
    <xf numFmtId="166" fontId="20" fillId="22" borderId="0" applyNumberFormat="0" applyBorder="0" applyAlignment="0" applyProtection="0"/>
    <xf numFmtId="166" fontId="6" fillId="23" borderId="7" applyNumberFormat="0" applyFont="0" applyAlignment="0" applyProtection="0"/>
    <xf numFmtId="166" fontId="21" fillId="20" borderId="8" applyNumberFormat="0" applyAlignment="0" applyProtection="0"/>
    <xf numFmtId="166" fontId="22" fillId="0" borderId="0" applyNumberFormat="0" applyFill="0" applyBorder="0" applyAlignment="0" applyProtection="0"/>
    <xf numFmtId="166" fontId="23" fillId="0" borderId="9" applyNumberFormat="0" applyFill="0" applyAlignment="0" applyProtection="0"/>
    <xf numFmtId="166" fontId="24" fillId="0" borderId="0" applyNumberFormat="0" applyFill="0" applyBorder="0" applyAlignment="0" applyProtection="0"/>
    <xf numFmtId="166" fontId="25" fillId="0" borderId="0" applyNumberFormat="0" applyFill="0" applyBorder="0" applyAlignment="0" applyProtection="0">
      <alignment vertical="top"/>
      <protection locked="0"/>
    </xf>
    <xf numFmtId="165" fontId="6" fillId="0" borderId="0" applyFont="0" applyFill="0" applyBorder="0" applyAlignment="0" applyProtection="0"/>
    <xf numFmtId="166" fontId="6" fillId="0" borderId="0"/>
    <xf numFmtId="167" fontId="8" fillId="2" borderId="0" applyNumberFormat="0" applyBorder="0" applyAlignment="0" applyProtection="0"/>
    <xf numFmtId="167" fontId="8" fillId="3" borderId="0" applyNumberFormat="0" applyBorder="0" applyAlignment="0" applyProtection="0"/>
    <xf numFmtId="167" fontId="8" fillId="4" borderId="0" applyNumberFormat="0" applyBorder="0" applyAlignment="0" applyProtection="0"/>
    <xf numFmtId="167" fontId="8" fillId="5" borderId="0" applyNumberFormat="0" applyBorder="0" applyAlignment="0" applyProtection="0"/>
    <xf numFmtId="167" fontId="8" fillId="6" borderId="0" applyNumberFormat="0" applyBorder="0" applyAlignment="0" applyProtection="0"/>
    <xf numFmtId="167" fontId="8" fillId="7" borderId="0" applyNumberFormat="0" applyBorder="0" applyAlignment="0" applyProtection="0"/>
    <xf numFmtId="167" fontId="8" fillId="8" borderId="0" applyNumberFormat="0" applyBorder="0" applyAlignment="0" applyProtection="0"/>
    <xf numFmtId="167" fontId="8" fillId="9" borderId="0" applyNumberFormat="0" applyBorder="0" applyAlignment="0" applyProtection="0"/>
    <xf numFmtId="167" fontId="8" fillId="10" borderId="0" applyNumberFormat="0" applyBorder="0" applyAlignment="0" applyProtection="0"/>
    <xf numFmtId="167" fontId="8" fillId="5" borderId="0" applyNumberFormat="0" applyBorder="0" applyAlignment="0" applyProtection="0"/>
    <xf numFmtId="167" fontId="8" fillId="8" borderId="0" applyNumberFormat="0" applyBorder="0" applyAlignment="0" applyProtection="0"/>
    <xf numFmtId="167" fontId="8" fillId="11" borderId="0" applyNumberFormat="0" applyBorder="0" applyAlignment="0" applyProtection="0"/>
    <xf numFmtId="167" fontId="9" fillId="12" borderId="0" applyNumberFormat="0" applyBorder="0" applyAlignment="0" applyProtection="0"/>
    <xf numFmtId="167" fontId="9" fillId="9" borderId="0" applyNumberFormat="0" applyBorder="0" applyAlignment="0" applyProtection="0"/>
    <xf numFmtId="167" fontId="9" fillId="10" borderId="0" applyNumberFormat="0" applyBorder="0" applyAlignment="0" applyProtection="0"/>
    <xf numFmtId="167" fontId="9" fillId="13" borderId="0" applyNumberFormat="0" applyBorder="0" applyAlignment="0" applyProtection="0"/>
    <xf numFmtId="167" fontId="9" fillId="14" borderId="0" applyNumberFormat="0" applyBorder="0" applyAlignment="0" applyProtection="0"/>
    <xf numFmtId="167" fontId="9" fillId="15" borderId="0" applyNumberFormat="0" applyBorder="0" applyAlignment="0" applyProtection="0"/>
    <xf numFmtId="167" fontId="9" fillId="16" borderId="0" applyNumberFormat="0" applyBorder="0" applyAlignment="0" applyProtection="0"/>
    <xf numFmtId="167" fontId="9" fillId="17" borderId="0" applyNumberFormat="0" applyBorder="0" applyAlignment="0" applyProtection="0"/>
    <xf numFmtId="167" fontId="9" fillId="18" borderId="0" applyNumberFormat="0" applyBorder="0" applyAlignment="0" applyProtection="0"/>
    <xf numFmtId="167" fontId="9" fillId="13" borderId="0" applyNumberFormat="0" applyBorder="0" applyAlignment="0" applyProtection="0"/>
    <xf numFmtId="167" fontId="9" fillId="14" borderId="0" applyNumberFormat="0" applyBorder="0" applyAlignment="0" applyProtection="0"/>
    <xf numFmtId="167" fontId="9" fillId="19" borderId="0" applyNumberFormat="0" applyBorder="0" applyAlignment="0" applyProtection="0"/>
    <xf numFmtId="167" fontId="10" fillId="3" borderId="0" applyNumberFormat="0" applyBorder="0" applyAlignment="0" applyProtection="0"/>
    <xf numFmtId="167" fontId="11" fillId="20" borderId="1" applyNumberFormat="0" applyAlignment="0" applyProtection="0"/>
    <xf numFmtId="167" fontId="12" fillId="21" borderId="2" applyNumberFormat="0" applyAlignment="0" applyProtection="0"/>
    <xf numFmtId="165" fontId="6" fillId="0" borderId="0" applyFont="0" applyFill="0" applyBorder="0" applyAlignment="0" applyProtection="0"/>
    <xf numFmtId="167" fontId="13" fillId="0" borderId="0" applyNumberFormat="0" applyFill="0" applyBorder="0" applyAlignment="0" applyProtection="0"/>
    <xf numFmtId="167" fontId="14" fillId="4" borderId="0" applyNumberFormat="0" applyBorder="0" applyAlignment="0" applyProtection="0"/>
    <xf numFmtId="167" fontId="15" fillId="0" borderId="3" applyNumberFormat="0" applyFill="0" applyAlignment="0" applyProtection="0"/>
    <xf numFmtId="167" fontId="16" fillId="0" borderId="4" applyNumberFormat="0" applyFill="0" applyAlignment="0" applyProtection="0"/>
    <xf numFmtId="167" fontId="17" fillId="0" borderId="5" applyNumberFormat="0" applyFill="0" applyAlignment="0" applyProtection="0"/>
    <xf numFmtId="167" fontId="17" fillId="0" borderId="0" applyNumberFormat="0" applyFill="0" applyBorder="0" applyAlignment="0" applyProtection="0"/>
    <xf numFmtId="167" fontId="18" fillId="7" borderId="1" applyNumberFormat="0" applyAlignment="0" applyProtection="0"/>
    <xf numFmtId="167" fontId="19" fillId="0" borderId="6" applyNumberFormat="0" applyFill="0" applyAlignment="0" applyProtection="0"/>
    <xf numFmtId="167" fontId="20" fillId="22" borderId="0" applyNumberFormat="0" applyBorder="0" applyAlignment="0" applyProtection="0"/>
    <xf numFmtId="167" fontId="6" fillId="0" borderId="0"/>
    <xf numFmtId="167" fontId="6" fillId="0" borderId="0"/>
    <xf numFmtId="167" fontId="6" fillId="0" borderId="0"/>
    <xf numFmtId="167" fontId="6" fillId="23" borderId="7" applyNumberFormat="0" applyFont="0" applyAlignment="0" applyProtection="0"/>
    <xf numFmtId="167" fontId="21" fillId="20" borderId="8" applyNumberFormat="0" applyAlignment="0" applyProtection="0"/>
    <xf numFmtId="167" fontId="22" fillId="0" borderId="0" applyNumberFormat="0" applyFill="0" applyBorder="0" applyAlignment="0" applyProtection="0"/>
    <xf numFmtId="167" fontId="23" fillId="0" borderId="9" applyNumberFormat="0" applyFill="0" applyAlignment="0" applyProtection="0"/>
    <xf numFmtId="167" fontId="24" fillId="0" borderId="0" applyNumberFormat="0" applyFill="0" applyBorder="0" applyAlignment="0" applyProtection="0"/>
    <xf numFmtId="0" fontId="4" fillId="0" borderId="0"/>
    <xf numFmtId="166" fontId="6" fillId="0" borderId="0"/>
    <xf numFmtId="166" fontId="8" fillId="2" borderId="0" applyNumberFormat="0" applyBorder="0" applyAlignment="0" applyProtection="0"/>
    <xf numFmtId="166" fontId="8" fillId="3" borderId="0" applyNumberFormat="0" applyBorder="0" applyAlignment="0" applyProtection="0"/>
    <xf numFmtId="166" fontId="8" fillId="4" borderId="0" applyNumberFormat="0" applyBorder="0" applyAlignment="0" applyProtection="0"/>
    <xf numFmtId="166" fontId="8" fillId="5" borderId="0" applyNumberFormat="0" applyBorder="0" applyAlignment="0" applyProtection="0"/>
    <xf numFmtId="166" fontId="8" fillId="6" borderId="0" applyNumberFormat="0" applyBorder="0" applyAlignment="0" applyProtection="0"/>
    <xf numFmtId="166" fontId="8" fillId="7" borderId="0" applyNumberFormat="0" applyBorder="0" applyAlignment="0" applyProtection="0"/>
    <xf numFmtId="166" fontId="8" fillId="8" borderId="0" applyNumberFormat="0" applyBorder="0" applyAlignment="0" applyProtection="0"/>
    <xf numFmtId="166" fontId="8" fillId="9" borderId="0" applyNumberFormat="0" applyBorder="0" applyAlignment="0" applyProtection="0"/>
    <xf numFmtId="166" fontId="8" fillId="10" borderId="0" applyNumberFormat="0" applyBorder="0" applyAlignment="0" applyProtection="0"/>
    <xf numFmtId="166" fontId="8" fillId="5" borderId="0" applyNumberFormat="0" applyBorder="0" applyAlignment="0" applyProtection="0"/>
    <xf numFmtId="166" fontId="8" fillId="8" borderId="0" applyNumberFormat="0" applyBorder="0" applyAlignment="0" applyProtection="0"/>
    <xf numFmtId="166" fontId="8" fillId="11" borderId="0" applyNumberFormat="0" applyBorder="0" applyAlignment="0" applyProtection="0"/>
    <xf numFmtId="166" fontId="9" fillId="12" borderId="0" applyNumberFormat="0" applyBorder="0" applyAlignment="0" applyProtection="0"/>
    <xf numFmtId="166" fontId="9" fillId="9" borderId="0" applyNumberFormat="0" applyBorder="0" applyAlignment="0" applyProtection="0"/>
    <xf numFmtId="166" fontId="9" fillId="10" borderId="0" applyNumberFormat="0" applyBorder="0" applyAlignment="0" applyProtection="0"/>
    <xf numFmtId="166" fontId="9" fillId="13" borderId="0" applyNumberFormat="0" applyBorder="0" applyAlignment="0" applyProtection="0"/>
    <xf numFmtId="166" fontId="9" fillId="14" borderId="0" applyNumberFormat="0" applyBorder="0" applyAlignment="0" applyProtection="0"/>
    <xf numFmtId="166" fontId="9" fillId="15" borderId="0" applyNumberFormat="0" applyBorder="0" applyAlignment="0" applyProtection="0"/>
    <xf numFmtId="166" fontId="9" fillId="16" borderId="0" applyNumberFormat="0" applyBorder="0" applyAlignment="0" applyProtection="0"/>
    <xf numFmtId="166" fontId="9" fillId="17" borderId="0" applyNumberFormat="0" applyBorder="0" applyAlignment="0" applyProtection="0"/>
    <xf numFmtId="166" fontId="9" fillId="18" borderId="0" applyNumberFormat="0" applyBorder="0" applyAlignment="0" applyProtection="0"/>
    <xf numFmtId="166" fontId="9" fillId="13" borderId="0" applyNumberFormat="0" applyBorder="0" applyAlignment="0" applyProtection="0"/>
    <xf numFmtId="166" fontId="9" fillId="14" borderId="0" applyNumberFormat="0" applyBorder="0" applyAlignment="0" applyProtection="0"/>
    <xf numFmtId="166" fontId="9" fillId="19" borderId="0" applyNumberFormat="0" applyBorder="0" applyAlignment="0" applyProtection="0"/>
    <xf numFmtId="166" fontId="10" fillId="3" borderId="0" applyNumberFormat="0" applyBorder="0" applyAlignment="0" applyProtection="0"/>
    <xf numFmtId="166" fontId="11" fillId="20" borderId="1" applyNumberFormat="0" applyAlignment="0" applyProtection="0"/>
    <xf numFmtId="166" fontId="12" fillId="21" borderId="2" applyNumberFormat="0" applyAlignment="0" applyProtection="0"/>
    <xf numFmtId="166" fontId="13" fillId="0" borderId="0" applyNumberFormat="0" applyFill="0" applyBorder="0" applyAlignment="0" applyProtection="0"/>
    <xf numFmtId="166" fontId="14" fillId="4" borderId="0" applyNumberFormat="0" applyBorder="0" applyAlignment="0" applyProtection="0"/>
    <xf numFmtId="166" fontId="15" fillId="0" borderId="3" applyNumberFormat="0" applyFill="0" applyAlignment="0" applyProtection="0"/>
    <xf numFmtId="166" fontId="16" fillId="0" borderId="4" applyNumberFormat="0" applyFill="0" applyAlignment="0" applyProtection="0"/>
    <xf numFmtId="166" fontId="17" fillId="0" borderId="5" applyNumberFormat="0" applyFill="0" applyAlignment="0" applyProtection="0"/>
    <xf numFmtId="166" fontId="17" fillId="0" borderId="0" applyNumberFormat="0" applyFill="0" applyBorder="0" applyAlignment="0" applyProtection="0"/>
    <xf numFmtId="166" fontId="18" fillId="7" borderId="1" applyNumberFormat="0" applyAlignment="0" applyProtection="0"/>
    <xf numFmtId="166" fontId="19" fillId="0" borderId="6" applyNumberFormat="0" applyFill="0" applyAlignment="0" applyProtection="0"/>
    <xf numFmtId="166" fontId="20" fillId="22" borderId="0" applyNumberFormat="0" applyBorder="0" applyAlignment="0" applyProtection="0"/>
    <xf numFmtId="166" fontId="6" fillId="23" borderId="7" applyNumberFormat="0" applyFont="0" applyAlignment="0" applyProtection="0"/>
    <xf numFmtId="166" fontId="21" fillId="20" borderId="8" applyNumberFormat="0" applyAlignment="0" applyProtection="0"/>
    <xf numFmtId="166" fontId="22" fillId="0" borderId="0" applyNumberFormat="0" applyFill="0" applyBorder="0" applyAlignment="0" applyProtection="0"/>
    <xf numFmtId="166" fontId="23" fillId="0" borderId="9" applyNumberFormat="0" applyFill="0" applyAlignment="0" applyProtection="0"/>
    <xf numFmtId="166" fontId="24" fillId="0" borderId="0" applyNumberFormat="0" applyFill="0" applyBorder="0" applyAlignment="0" applyProtection="0"/>
    <xf numFmtId="165" fontId="6" fillId="0" borderId="0" applyFont="0" applyFill="0" applyBorder="0" applyAlignment="0" applyProtection="0"/>
    <xf numFmtId="166" fontId="6" fillId="0" borderId="0"/>
    <xf numFmtId="0" fontId="4" fillId="0" borderId="0"/>
    <xf numFmtId="9" fontId="6" fillId="0" borderId="0" applyFont="0" applyFill="0" applyBorder="0" applyAlignment="0" applyProtection="0"/>
    <xf numFmtId="166" fontId="6"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166" fontId="29" fillId="0" borderId="0" applyNumberFormat="0" applyFill="0" applyBorder="0" applyAlignment="0" applyProtection="0"/>
    <xf numFmtId="9" fontId="42" fillId="0" borderId="0" applyFont="0" applyFill="0" applyBorder="0" applyAlignment="0" applyProtection="0"/>
  </cellStyleXfs>
  <cellXfs count="206">
    <xf numFmtId="166" fontId="0" fillId="0" borderId="0" xfId="0"/>
    <xf numFmtId="166" fontId="27" fillId="0" borderId="0" xfId="0" applyFont="1"/>
    <xf numFmtId="166" fontId="27" fillId="24" borderId="0" xfId="0" applyFont="1" applyFill="1"/>
    <xf numFmtId="166" fontId="27" fillId="0" borderId="0" xfId="0" applyFont="1" applyAlignment="1">
      <alignment wrapText="1"/>
    </xf>
    <xf numFmtId="0" fontId="27" fillId="24" borderId="0" xfId="0" applyNumberFormat="1" applyFont="1" applyFill="1"/>
    <xf numFmtId="166" fontId="27" fillId="0" borderId="0" xfId="0" applyFont="1" applyAlignment="1">
      <alignment vertical="top" wrapText="1"/>
    </xf>
    <xf numFmtId="2" fontId="27" fillId="0" borderId="0" xfId="0" applyNumberFormat="1" applyFont="1"/>
    <xf numFmtId="166" fontId="27" fillId="0" borderId="0" xfId="0" applyFont="1" applyAlignment="1">
      <alignment horizontal="left" vertical="top" wrapText="1"/>
    </xf>
    <xf numFmtId="166" fontId="27" fillId="0" borderId="0" xfId="37" applyFont="1" applyAlignment="1">
      <alignment horizontal="left" vertical="top" wrapText="1"/>
    </xf>
    <xf numFmtId="166" fontId="28" fillId="0" borderId="0" xfId="37" applyFont="1" applyAlignment="1">
      <alignment vertical="center" wrapText="1"/>
    </xf>
    <xf numFmtId="166" fontId="28" fillId="0" borderId="0" xfId="37" applyFont="1" applyAlignment="1">
      <alignment horizontal="center" vertical="center" wrapText="1"/>
    </xf>
    <xf numFmtId="2" fontId="28" fillId="0" borderId="0" xfId="37" applyNumberFormat="1" applyFont="1" applyAlignment="1">
      <alignment horizontal="center" vertical="center"/>
    </xf>
    <xf numFmtId="166" fontId="27" fillId="0" borderId="0" xfId="37" applyFont="1" applyAlignment="1">
      <alignment horizontal="center" vertical="center"/>
    </xf>
    <xf numFmtId="166" fontId="28" fillId="0" borderId="0" xfId="37" applyFont="1" applyAlignment="1">
      <alignment horizontal="left" vertical="center"/>
    </xf>
    <xf numFmtId="166" fontId="27" fillId="0" borderId="0" xfId="37" applyFont="1" applyAlignment="1">
      <alignment horizontal="center" vertical="top"/>
    </xf>
    <xf numFmtId="166" fontId="28" fillId="0" borderId="0" xfId="0" applyFont="1" applyAlignment="1">
      <alignment wrapText="1"/>
    </xf>
    <xf numFmtId="166" fontId="27" fillId="0" borderId="0" xfId="0" applyFont="1" applyAlignment="1">
      <alignment vertical="top"/>
    </xf>
    <xf numFmtId="166" fontId="29" fillId="0" borderId="0" xfId="199" applyFill="1" applyBorder="1"/>
    <xf numFmtId="166" fontId="27" fillId="24" borderId="21" xfId="0" applyFont="1" applyFill="1" applyBorder="1" applyAlignment="1">
      <alignment vertical="top" wrapText="1"/>
    </xf>
    <xf numFmtId="166" fontId="27" fillId="24" borderId="11" xfId="0" applyFont="1" applyFill="1" applyBorder="1"/>
    <xf numFmtId="1" fontId="27" fillId="24" borderId="11" xfId="0" applyNumberFormat="1" applyFont="1" applyFill="1" applyBorder="1"/>
    <xf numFmtId="166" fontId="35" fillId="24" borderId="19" xfId="0" applyFont="1" applyFill="1" applyBorder="1"/>
    <xf numFmtId="166" fontId="35" fillId="24" borderId="0" xfId="0" applyFont="1" applyFill="1"/>
    <xf numFmtId="2" fontId="35" fillId="24" borderId="0" xfId="0" applyNumberFormat="1" applyFont="1" applyFill="1"/>
    <xf numFmtId="1" fontId="27" fillId="24" borderId="15" xfId="0" applyNumberFormat="1" applyFont="1" applyFill="1" applyBorder="1"/>
    <xf numFmtId="166" fontId="27" fillId="24" borderId="14" xfId="0" applyFont="1" applyFill="1" applyBorder="1"/>
    <xf numFmtId="166" fontId="27" fillId="24" borderId="13" xfId="0" applyFont="1" applyFill="1" applyBorder="1"/>
    <xf numFmtId="166" fontId="27" fillId="24" borderId="21" xfId="0" applyFont="1" applyFill="1" applyBorder="1"/>
    <xf numFmtId="1" fontId="27" fillId="24" borderId="16" xfId="0" applyNumberFormat="1" applyFont="1" applyFill="1" applyBorder="1"/>
    <xf numFmtId="166" fontId="27" fillId="24" borderId="22" xfId="0" applyFont="1" applyFill="1" applyBorder="1"/>
    <xf numFmtId="1" fontId="27" fillId="24" borderId="12" xfId="0" applyNumberFormat="1" applyFont="1" applyFill="1" applyBorder="1"/>
    <xf numFmtId="166" fontId="38" fillId="24" borderId="0" xfId="0" applyFont="1" applyFill="1"/>
    <xf numFmtId="1" fontId="27" fillId="24" borderId="0" xfId="0" applyNumberFormat="1" applyFont="1" applyFill="1"/>
    <xf numFmtId="0" fontId="27" fillId="24" borderId="11" xfId="0" applyNumberFormat="1" applyFont="1" applyFill="1" applyBorder="1"/>
    <xf numFmtId="166" fontId="27" fillId="25" borderId="11" xfId="0" applyFont="1" applyFill="1" applyBorder="1"/>
    <xf numFmtId="166" fontId="27" fillId="25" borderId="14" xfId="0" applyFont="1" applyFill="1" applyBorder="1" applyAlignment="1">
      <alignment vertical="top" wrapText="1"/>
    </xf>
    <xf numFmtId="166" fontId="27" fillId="25" borderId="14" xfId="0" applyFont="1" applyFill="1" applyBorder="1"/>
    <xf numFmtId="166" fontId="27" fillId="25" borderId="12" xfId="0" applyFont="1" applyFill="1" applyBorder="1"/>
    <xf numFmtId="1" fontId="27" fillId="24" borderId="20" xfId="0" applyNumberFormat="1" applyFont="1" applyFill="1" applyBorder="1"/>
    <xf numFmtId="0" fontId="27" fillId="24" borderId="16" xfId="0" applyNumberFormat="1" applyFont="1" applyFill="1" applyBorder="1"/>
    <xf numFmtId="0" fontId="27" fillId="24" borderId="17" xfId="0" applyNumberFormat="1" applyFont="1" applyFill="1" applyBorder="1"/>
    <xf numFmtId="166" fontId="27" fillId="25" borderId="13" xfId="0" applyFont="1" applyFill="1" applyBorder="1"/>
    <xf numFmtId="166" fontId="27" fillId="25" borderId="20" xfId="0" applyFont="1" applyFill="1" applyBorder="1"/>
    <xf numFmtId="166" fontId="27" fillId="25" borderId="13" xfId="0" applyFont="1" applyFill="1" applyBorder="1" applyAlignment="1">
      <alignment vertical="top" wrapText="1"/>
    </xf>
    <xf numFmtId="166" fontId="27" fillId="24" borderId="11" xfId="0" applyFont="1" applyFill="1" applyBorder="1" applyAlignment="1">
      <alignment vertical="top" wrapText="1"/>
    </xf>
    <xf numFmtId="166" fontId="27" fillId="0" borderId="0" xfId="0" applyFont="1" applyAlignment="1">
      <alignment horizontal="center"/>
    </xf>
    <xf numFmtId="166" fontId="27" fillId="0" borderId="11" xfId="0" applyFont="1" applyBorder="1" applyAlignment="1">
      <alignment vertical="top" wrapText="1"/>
    </xf>
    <xf numFmtId="2" fontId="27" fillId="0" borderId="11" xfId="0" applyNumberFormat="1" applyFont="1" applyBorder="1" applyAlignment="1">
      <alignment vertical="top" wrapText="1"/>
    </xf>
    <xf numFmtId="166" fontId="27" fillId="0" borderId="11" xfId="0" applyFont="1" applyBorder="1" applyAlignment="1">
      <alignment vertical="top"/>
    </xf>
    <xf numFmtId="166" fontId="29" fillId="0" borderId="11" xfId="199" applyFill="1" applyBorder="1" applyAlignment="1">
      <alignment horizontal="left" vertical="top" wrapText="1"/>
    </xf>
    <xf numFmtId="166" fontId="29" fillId="0" borderId="0" xfId="199" applyFill="1" applyBorder="1" applyAlignment="1">
      <alignment horizontal="left" vertical="top" wrapText="1"/>
    </xf>
    <xf numFmtId="166" fontId="30" fillId="0" borderId="0" xfId="37" applyFont="1" applyAlignment="1">
      <alignment horizontal="left"/>
    </xf>
    <xf numFmtId="166" fontId="40" fillId="0" borderId="0" xfId="199" applyFont="1" applyFill="1" applyBorder="1" applyAlignment="1">
      <alignment horizontal="left" vertical="top" wrapText="1"/>
    </xf>
    <xf numFmtId="166" fontId="39" fillId="0" borderId="0" xfId="0" applyFont="1" applyAlignment="1">
      <alignment horizontal="left" vertical="top" wrapText="1"/>
    </xf>
    <xf numFmtId="9" fontId="27" fillId="24" borderId="16" xfId="0" applyNumberFormat="1" applyFont="1" applyFill="1" applyBorder="1"/>
    <xf numFmtId="166" fontId="27" fillId="24" borderId="12" xfId="0" applyFont="1" applyFill="1" applyBorder="1"/>
    <xf numFmtId="9" fontId="27" fillId="24" borderId="0" xfId="200" applyFont="1" applyFill="1"/>
    <xf numFmtId="14" fontId="28" fillId="25" borderId="0" xfId="37" applyNumberFormat="1" applyFont="1" applyFill="1" applyAlignment="1">
      <alignment wrapText="1"/>
    </xf>
    <xf numFmtId="2" fontId="28" fillId="25" borderId="0" xfId="37" applyNumberFormat="1" applyFont="1" applyFill="1" applyAlignment="1">
      <alignment horizontal="center" wrapText="1"/>
    </xf>
    <xf numFmtId="166" fontId="28" fillId="25" borderId="0" xfId="37" applyFont="1" applyFill="1" applyAlignment="1">
      <alignment horizontal="center" wrapText="1"/>
    </xf>
    <xf numFmtId="166" fontId="30" fillId="0" borderId="0" xfId="37" applyFont="1"/>
    <xf numFmtId="166" fontId="28" fillId="25" borderId="0" xfId="0" applyFont="1" applyFill="1" applyAlignment="1">
      <alignment horizontal="center" wrapText="1"/>
    </xf>
    <xf numFmtId="2" fontId="27" fillId="0" borderId="0" xfId="0" applyNumberFormat="1" applyFont="1" applyAlignment="1">
      <alignment vertical="top" wrapText="1"/>
    </xf>
    <xf numFmtId="1" fontId="27" fillId="0" borderId="0" xfId="0" applyNumberFormat="1" applyFont="1" applyAlignment="1">
      <alignment vertical="top"/>
    </xf>
    <xf numFmtId="166" fontId="31" fillId="0" borderId="0" xfId="199" applyFont="1" applyFill="1" applyBorder="1" applyAlignment="1">
      <alignment horizontal="left" vertical="top" wrapText="1"/>
    </xf>
    <xf numFmtId="1" fontId="27" fillId="0" borderId="0" xfId="0" applyNumberFormat="1" applyFont="1" applyAlignment="1">
      <alignment horizontal="center" vertical="top"/>
    </xf>
    <xf numFmtId="166" fontId="32" fillId="0" borderId="0" xfId="0" applyFont="1" applyAlignment="1">
      <alignment horizontal="left" vertical="top" wrapText="1"/>
    </xf>
    <xf numFmtId="166" fontId="29" fillId="0" borderId="0" xfId="199" applyFill="1" applyBorder="1" applyAlignment="1">
      <alignment wrapText="1"/>
    </xf>
    <xf numFmtId="2" fontId="27" fillId="0" borderId="0" xfId="0" applyNumberFormat="1" applyFont="1" applyAlignment="1">
      <alignment vertical="top"/>
    </xf>
    <xf numFmtId="1" fontId="28" fillId="25" borderId="0" xfId="37" applyNumberFormat="1" applyFont="1" applyFill="1" applyAlignment="1">
      <alignment horizontal="center" wrapText="1"/>
    </xf>
    <xf numFmtId="1" fontId="27" fillId="0" borderId="0" xfId="0" applyNumberFormat="1" applyFont="1" applyAlignment="1">
      <alignment horizontal="center"/>
    </xf>
    <xf numFmtId="1" fontId="27" fillId="0" borderId="0" xfId="0" applyNumberFormat="1" applyFont="1" applyAlignment="1">
      <alignment horizontal="center" vertical="top" wrapText="1"/>
    </xf>
    <xf numFmtId="1" fontId="31" fillId="0" borderId="0" xfId="199" applyNumberFormat="1" applyFont="1" applyFill="1" applyBorder="1" applyAlignment="1">
      <alignment horizontal="center"/>
    </xf>
    <xf numFmtId="0" fontId="27" fillId="0" borderId="0" xfId="0" applyNumberFormat="1" applyFont="1"/>
    <xf numFmtId="2" fontId="27" fillId="24" borderId="0" xfId="0" applyNumberFormat="1" applyFont="1" applyFill="1"/>
    <xf numFmtId="9" fontId="27" fillId="24" borderId="11" xfId="200" applyFont="1" applyFill="1" applyBorder="1"/>
    <xf numFmtId="166" fontId="38" fillId="0" borderId="0" xfId="0" applyFont="1" applyAlignment="1">
      <alignment horizontal="left" vertical="top"/>
    </xf>
    <xf numFmtId="166" fontId="39" fillId="0" borderId="0" xfId="0" applyFont="1" applyAlignment="1">
      <alignment horizontal="left" vertical="top"/>
    </xf>
    <xf numFmtId="0" fontId="39" fillId="0" borderId="0" xfId="0" applyNumberFormat="1" applyFont="1" applyAlignment="1">
      <alignment horizontal="left" vertical="top"/>
    </xf>
    <xf numFmtId="2" fontId="39" fillId="0" borderId="0" xfId="0" applyNumberFormat="1" applyFont="1" applyAlignment="1">
      <alignment horizontal="center" vertical="top"/>
    </xf>
    <xf numFmtId="166" fontId="40" fillId="0" borderId="0" xfId="199" applyFont="1" applyBorder="1" applyAlignment="1">
      <alignment horizontal="left" vertical="top"/>
    </xf>
    <xf numFmtId="166" fontId="41" fillId="0" borderId="0" xfId="199" applyFont="1" applyBorder="1" applyAlignment="1">
      <alignment horizontal="left" vertical="top"/>
    </xf>
    <xf numFmtId="166" fontId="41" fillId="0" borderId="0" xfId="199" applyFont="1" applyBorder="1" applyAlignment="1">
      <alignment vertical="top"/>
    </xf>
    <xf numFmtId="166" fontId="29" fillId="0" borderId="0" xfId="199" applyBorder="1" applyAlignment="1">
      <alignment horizontal="left" vertical="top"/>
    </xf>
    <xf numFmtId="166" fontId="29" fillId="0" borderId="0" xfId="199" applyBorder="1" applyAlignment="1">
      <alignment vertical="top"/>
    </xf>
    <xf numFmtId="0" fontId="45" fillId="0" borderId="0" xfId="0" applyNumberFormat="1" applyFont="1" applyAlignment="1">
      <alignment horizontal="center" vertical="center"/>
    </xf>
    <xf numFmtId="166" fontId="45" fillId="0" borderId="0" xfId="0" applyFont="1" applyAlignment="1">
      <alignment vertical="center"/>
    </xf>
    <xf numFmtId="166" fontId="45" fillId="25" borderId="19" xfId="0" applyFont="1" applyFill="1" applyBorder="1" applyAlignment="1">
      <alignment vertical="center"/>
    </xf>
    <xf numFmtId="166" fontId="45" fillId="25" borderId="19" xfId="0" applyFont="1" applyFill="1" applyBorder="1" applyAlignment="1">
      <alignment horizontal="left" vertical="center"/>
    </xf>
    <xf numFmtId="166" fontId="46" fillId="0" borderId="0" xfId="0" applyFont="1" applyAlignment="1">
      <alignment vertical="center"/>
    </xf>
    <xf numFmtId="0" fontId="46" fillId="0" borderId="0" xfId="0" applyNumberFormat="1" applyFont="1" applyAlignment="1">
      <alignment horizontal="left" vertical="center"/>
    </xf>
    <xf numFmtId="166" fontId="46" fillId="0" borderId="0" xfId="0" applyFont="1" applyAlignment="1">
      <alignment horizontal="left" vertical="center"/>
    </xf>
    <xf numFmtId="166" fontId="47" fillId="0" borderId="0" xfId="199" applyFont="1" applyFill="1" applyBorder="1" applyAlignment="1">
      <alignment vertical="center" shrinkToFit="1"/>
    </xf>
    <xf numFmtId="166" fontId="29" fillId="0" borderId="0" xfId="199" applyAlignment="1">
      <alignment vertical="center" shrinkToFit="1"/>
    </xf>
    <xf numFmtId="1" fontId="46" fillId="0" borderId="0" xfId="0" applyNumberFormat="1" applyFont="1" applyAlignment="1">
      <alignment horizontal="left" vertical="center"/>
    </xf>
    <xf numFmtId="166" fontId="47" fillId="0" borderId="0" xfId="199" applyFont="1" applyAlignment="1">
      <alignment vertical="center" shrinkToFit="1"/>
    </xf>
    <xf numFmtId="166" fontId="34" fillId="0" borderId="0" xfId="0" applyFont="1" applyAlignment="1">
      <alignment vertical="center" wrapText="1"/>
    </xf>
    <xf numFmtId="166" fontId="35" fillId="24" borderId="11" xfId="0" applyFont="1" applyFill="1" applyBorder="1" applyAlignment="1">
      <alignment horizontal="center" vertical="center" wrapText="1"/>
    </xf>
    <xf numFmtId="166" fontId="36" fillId="24" borderId="11" xfId="0" applyFont="1" applyFill="1" applyBorder="1" applyAlignment="1">
      <alignment horizontal="center" vertical="center" wrapText="1"/>
    </xf>
    <xf numFmtId="166" fontId="35" fillId="24" borderId="11" xfId="0" applyFont="1" applyFill="1" applyBorder="1" applyAlignment="1">
      <alignment horizontal="left" vertical="center" wrapText="1"/>
    </xf>
    <xf numFmtId="166" fontId="27" fillId="24" borderId="0" xfId="0" applyFont="1" applyFill="1" applyAlignment="1">
      <alignment horizontal="left" wrapText="1"/>
    </xf>
    <xf numFmtId="166" fontId="35" fillId="24" borderId="0" xfId="0" applyFont="1" applyFill="1" applyAlignment="1">
      <alignment horizontal="left" vertical="center" wrapText="1"/>
    </xf>
    <xf numFmtId="166" fontId="27" fillId="24" borderId="0" xfId="0" applyFont="1" applyFill="1" applyAlignment="1">
      <alignment horizontal="left" vertical="center" wrapText="1"/>
    </xf>
    <xf numFmtId="166" fontId="27" fillId="24" borderId="0" xfId="0" applyFont="1" applyFill="1" applyAlignment="1">
      <alignment horizontal="left"/>
    </xf>
    <xf numFmtId="166" fontId="35" fillId="24" borderId="0" xfId="0" applyFont="1" applyFill="1" applyAlignment="1">
      <alignment horizontal="left" wrapText="1"/>
    </xf>
    <xf numFmtId="166" fontId="48" fillId="25" borderId="18" xfId="48" applyFont="1" applyFill="1" applyBorder="1" applyAlignment="1">
      <alignment horizontal="center" vertical="center" wrapText="1"/>
    </xf>
    <xf numFmtId="166" fontId="48" fillId="25" borderId="18" xfId="48" applyFont="1" applyFill="1" applyBorder="1" applyAlignment="1">
      <alignment horizontal="center" vertical="center"/>
    </xf>
    <xf numFmtId="166" fontId="48" fillId="25" borderId="11" xfId="48" applyFont="1" applyFill="1" applyBorder="1" applyAlignment="1">
      <alignment horizontal="center" vertical="center"/>
    </xf>
    <xf numFmtId="166" fontId="34" fillId="25" borderId="11" xfId="0" applyFont="1" applyFill="1" applyBorder="1" applyAlignment="1">
      <alignment horizontal="center" vertical="center"/>
    </xf>
    <xf numFmtId="166" fontId="35" fillId="24" borderId="11" xfId="0" applyFont="1" applyFill="1" applyBorder="1" applyAlignment="1">
      <alignment horizontal="center" vertical="center"/>
    </xf>
    <xf numFmtId="1" fontId="35" fillId="24" borderId="11" xfId="0" applyNumberFormat="1" applyFont="1" applyFill="1" applyBorder="1" applyAlignment="1">
      <alignment horizontal="center" vertical="center"/>
    </xf>
    <xf numFmtId="166" fontId="44" fillId="0" borderId="0" xfId="0" applyFont="1"/>
    <xf numFmtId="166" fontId="43" fillId="0" borderId="0" xfId="0" applyFont="1"/>
    <xf numFmtId="166" fontId="1" fillId="0" borderId="0" xfId="0" applyFont="1"/>
    <xf numFmtId="166" fontId="50" fillId="0" borderId="0" xfId="0" applyFont="1"/>
    <xf numFmtId="0" fontId="35" fillId="24" borderId="0" xfId="0" applyNumberFormat="1" applyFont="1" applyFill="1" applyAlignment="1">
      <alignment horizontal="center" vertical="center" wrapText="1"/>
    </xf>
    <xf numFmtId="0" fontId="27" fillId="24" borderId="0" xfId="0" applyNumberFormat="1" applyFont="1" applyFill="1" applyAlignment="1">
      <alignment horizontal="center" vertical="center" wrapText="1"/>
    </xf>
    <xf numFmtId="166" fontId="51" fillId="0" borderId="0" xfId="0" applyFont="1"/>
    <xf numFmtId="166" fontId="52" fillId="0" borderId="0" xfId="0" applyFont="1"/>
    <xf numFmtId="166" fontId="27" fillId="24" borderId="0" xfId="0" applyFont="1" applyFill="1" applyAlignment="1">
      <alignment horizontal="center"/>
    </xf>
    <xf numFmtId="166" fontId="35" fillId="24" borderId="0" xfId="0" applyFont="1" applyFill="1" applyAlignment="1">
      <alignment horizontal="center"/>
    </xf>
    <xf numFmtId="0" fontId="27" fillId="24" borderId="0" xfId="0" applyNumberFormat="1" applyFont="1" applyFill="1" applyAlignment="1">
      <alignment horizontal="center"/>
    </xf>
    <xf numFmtId="0" fontId="27" fillId="0" borderId="12" xfId="0" applyNumberFormat="1" applyFont="1" applyBorder="1" applyAlignment="1">
      <alignment horizontal="center" vertical="top" wrapText="1"/>
    </xf>
    <xf numFmtId="166" fontId="27" fillId="0" borderId="14" xfId="0" applyFont="1" applyBorder="1" applyAlignment="1">
      <alignment vertical="top" wrapText="1"/>
    </xf>
    <xf numFmtId="0" fontId="27" fillId="0" borderId="20" xfId="0" applyNumberFormat="1" applyFont="1" applyBorder="1" applyAlignment="1">
      <alignment horizontal="center" vertical="top" wrapText="1"/>
    </xf>
    <xf numFmtId="166" fontId="27" fillId="0" borderId="10" xfId="0" applyFont="1" applyBorder="1" applyAlignment="1">
      <alignment vertical="top" wrapText="1"/>
    </xf>
    <xf numFmtId="2" fontId="27" fillId="0" borderId="10" xfId="0" applyNumberFormat="1" applyFont="1" applyBorder="1" applyAlignment="1">
      <alignment vertical="top" wrapText="1"/>
    </xf>
    <xf numFmtId="166" fontId="27" fillId="0" borderId="10" xfId="0" applyFont="1" applyBorder="1" applyAlignment="1">
      <alignment vertical="top"/>
    </xf>
    <xf numFmtId="166" fontId="29" fillId="0" borderId="10" xfId="199" applyFill="1" applyBorder="1" applyAlignment="1">
      <alignment horizontal="left" vertical="top" wrapText="1"/>
    </xf>
    <xf numFmtId="166" fontId="27" fillId="0" borderId="13" xfId="0" applyFont="1" applyBorder="1" applyAlignment="1">
      <alignment vertical="top" wrapText="1"/>
    </xf>
    <xf numFmtId="0" fontId="39" fillId="0" borderId="0" xfId="0" applyNumberFormat="1" applyFont="1" applyAlignment="1">
      <alignment horizontal="center" vertical="top" wrapText="1"/>
    </xf>
    <xf numFmtId="166" fontId="55" fillId="25" borderId="19" xfId="37" applyFont="1" applyFill="1" applyBorder="1" applyAlignment="1">
      <alignment horizontal="center" vertical="top" wrapText="1"/>
    </xf>
    <xf numFmtId="166" fontId="55" fillId="25" borderId="19" xfId="37" applyFont="1" applyFill="1" applyBorder="1" applyAlignment="1">
      <alignment horizontal="left" vertical="top" wrapText="1"/>
    </xf>
    <xf numFmtId="166" fontId="55" fillId="25" borderId="19" xfId="0" applyFont="1" applyFill="1" applyBorder="1" applyAlignment="1">
      <alignment horizontal="left" vertical="top"/>
    </xf>
    <xf numFmtId="14" fontId="55" fillId="25" borderId="19" xfId="37" applyNumberFormat="1" applyFont="1" applyFill="1" applyBorder="1" applyAlignment="1">
      <alignment horizontal="left" vertical="top" wrapText="1"/>
    </xf>
    <xf numFmtId="0" fontId="55" fillId="25" borderId="19" xfId="37" applyNumberFormat="1" applyFont="1" applyFill="1" applyBorder="1" applyAlignment="1">
      <alignment horizontal="left" vertical="top" wrapText="1"/>
    </xf>
    <xf numFmtId="166" fontId="55" fillId="25" borderId="19" xfId="37" applyFont="1" applyFill="1" applyBorder="1" applyAlignment="1">
      <alignment horizontal="left" vertical="top"/>
    </xf>
    <xf numFmtId="166" fontId="55" fillId="25" borderId="19" xfId="0" applyFont="1" applyFill="1" applyBorder="1" applyAlignment="1">
      <alignment horizontal="left" vertical="top" wrapText="1"/>
    </xf>
    <xf numFmtId="166" fontId="54" fillId="0" borderId="0" xfId="0" applyFont="1" applyAlignment="1">
      <alignment horizontal="left" vertical="top"/>
    </xf>
    <xf numFmtId="166" fontId="29" fillId="0" borderId="0" xfId="199"/>
    <xf numFmtId="166" fontId="35" fillId="0" borderId="0" xfId="37" applyFont="1" applyAlignment="1">
      <alignment horizontal="center" vertical="center" wrapText="1"/>
    </xf>
    <xf numFmtId="166" fontId="34" fillId="0" borderId="0" xfId="37" applyFont="1" applyAlignment="1">
      <alignment horizontal="left" vertical="center" wrapText="1"/>
    </xf>
    <xf numFmtId="166" fontId="48" fillId="25" borderId="19" xfId="37" applyFont="1" applyFill="1" applyBorder="1" applyAlignment="1">
      <alignment horizontal="center" vertical="center" wrapText="1"/>
    </xf>
    <xf numFmtId="166" fontId="48" fillId="25" borderId="19" xfId="0" applyFont="1" applyFill="1" applyBorder="1" applyAlignment="1">
      <alignment horizontal="center" vertical="center" wrapText="1"/>
    </xf>
    <xf numFmtId="166" fontId="48" fillId="25" borderId="17" xfId="0" applyFont="1" applyFill="1" applyBorder="1" applyAlignment="1">
      <alignment horizontal="center" vertical="center" wrapText="1"/>
    </xf>
    <xf numFmtId="166" fontId="35" fillId="0" borderId="0" xfId="0" applyFont="1" applyAlignment="1">
      <alignment vertical="center" wrapText="1"/>
    </xf>
    <xf numFmtId="166" fontId="35" fillId="0" borderId="0" xfId="37" applyFont="1" applyAlignment="1">
      <alignment horizontal="left" vertical="center" wrapText="1"/>
    </xf>
    <xf numFmtId="166" fontId="35" fillId="0" borderId="0" xfId="37" applyFont="1" applyAlignment="1">
      <alignment vertical="center" wrapText="1"/>
    </xf>
    <xf numFmtId="166" fontId="35" fillId="0" borderId="23" xfId="0" applyFont="1" applyBorder="1" applyAlignment="1">
      <alignment vertical="center" wrapText="1"/>
    </xf>
    <xf numFmtId="166" fontId="56" fillId="0" borderId="23" xfId="199" applyFont="1" applyFill="1" applyBorder="1" applyAlignment="1">
      <alignment vertical="center" wrapText="1"/>
    </xf>
    <xf numFmtId="166" fontId="35" fillId="0" borderId="20" xfId="0" applyFont="1" applyBorder="1" applyAlignment="1">
      <alignment vertical="center" wrapText="1"/>
    </xf>
    <xf numFmtId="166" fontId="56" fillId="0" borderId="0" xfId="199" applyFont="1" applyFill="1" applyBorder="1" applyAlignment="1">
      <alignment vertical="center" wrapText="1"/>
    </xf>
    <xf numFmtId="166" fontId="35" fillId="0" borderId="16" xfId="0" applyFont="1" applyBorder="1" applyAlignment="1">
      <alignment vertical="center" wrapText="1"/>
    </xf>
    <xf numFmtId="166" fontId="56" fillId="0" borderId="0" xfId="199" applyFont="1" applyFill="1" applyBorder="1" applyAlignment="1">
      <alignment horizontal="left" vertical="center" wrapText="1"/>
    </xf>
    <xf numFmtId="166" fontId="35" fillId="0" borderId="19" xfId="0" applyFont="1" applyBorder="1" applyAlignment="1">
      <alignment vertical="center" wrapText="1"/>
    </xf>
    <xf numFmtId="166" fontId="56" fillId="0" borderId="19" xfId="199" applyFont="1" applyBorder="1" applyAlignment="1">
      <alignment horizontal="left" vertical="center" wrapText="1"/>
    </xf>
    <xf numFmtId="166" fontId="35" fillId="0" borderId="17" xfId="0" applyFont="1" applyBorder="1" applyAlignment="1">
      <alignment vertical="center" wrapText="1"/>
    </xf>
    <xf numFmtId="0" fontId="35" fillId="0" borderId="0" xfId="0" applyNumberFormat="1" applyFont="1" applyAlignment="1">
      <alignment vertical="center" wrapText="1"/>
    </xf>
    <xf numFmtId="166" fontId="56" fillId="0" borderId="0" xfId="199" applyFont="1" applyAlignment="1">
      <alignment horizontal="left" vertical="center" wrapText="1"/>
    </xf>
    <xf numFmtId="166" fontId="56" fillId="0" borderId="0" xfId="199" applyFont="1" applyAlignment="1">
      <alignment vertical="center" wrapText="1"/>
    </xf>
    <xf numFmtId="166" fontId="35" fillId="0" borderId="0" xfId="0" applyFont="1" applyAlignment="1">
      <alignment horizontal="left" vertical="center" wrapText="1"/>
    </xf>
    <xf numFmtId="166" fontId="56" fillId="0" borderId="0" xfId="199" applyFont="1" applyAlignment="1">
      <alignment vertical="center"/>
    </xf>
    <xf numFmtId="0" fontId="27" fillId="24" borderId="0" xfId="0" applyNumberFormat="1" applyFont="1" applyFill="1" applyAlignment="1">
      <alignment horizontal="left"/>
    </xf>
    <xf numFmtId="166" fontId="53" fillId="25" borderId="16" xfId="37" applyFont="1" applyFill="1" applyBorder="1" applyAlignment="1">
      <alignment horizontal="center" vertical="center" wrapText="1"/>
    </xf>
    <xf numFmtId="166" fontId="53" fillId="25" borderId="15" xfId="37" applyFont="1" applyFill="1" applyBorder="1" applyAlignment="1">
      <alignment horizontal="center" vertical="center" wrapText="1"/>
    </xf>
    <xf numFmtId="14" fontId="53" fillId="25" borderId="16" xfId="37" applyNumberFormat="1" applyFont="1" applyFill="1" applyBorder="1" applyAlignment="1">
      <alignment vertical="center" wrapText="1"/>
    </xf>
    <xf numFmtId="2" fontId="53" fillId="25" borderId="0" xfId="37" applyNumberFormat="1" applyFont="1" applyFill="1" applyAlignment="1">
      <alignment horizontal="center" vertical="center" wrapText="1"/>
    </xf>
    <xf numFmtId="166" fontId="53" fillId="25" borderId="21" xfId="37" applyFont="1" applyFill="1" applyBorder="1" applyAlignment="1">
      <alignment horizontal="center" vertical="center" wrapText="1"/>
    </xf>
    <xf numFmtId="166" fontId="53" fillId="25" borderId="15" xfId="0" applyFont="1" applyFill="1" applyBorder="1" applyAlignment="1">
      <alignment horizontal="center" vertical="center" wrapText="1"/>
    </xf>
    <xf numFmtId="166" fontId="53" fillId="25" borderId="21" xfId="0" applyFont="1" applyFill="1" applyBorder="1" applyAlignment="1">
      <alignment horizontal="center" vertical="center" wrapText="1"/>
    </xf>
    <xf numFmtId="166" fontId="53" fillId="0" borderId="0" xfId="0" applyFont="1" applyAlignment="1">
      <alignment vertical="center" wrapText="1"/>
    </xf>
    <xf numFmtId="166" fontId="38" fillId="24" borderId="19" xfId="0" applyFont="1" applyFill="1" applyBorder="1" applyAlignment="1">
      <alignment horizontal="center" wrapText="1"/>
    </xf>
    <xf numFmtId="166" fontId="57" fillId="24" borderId="0" xfId="0" applyFont="1" applyFill="1"/>
    <xf numFmtId="0" fontId="27" fillId="0" borderId="0" xfId="0" applyNumberFormat="1" applyFont="1" applyAlignment="1">
      <alignment vertical="top" wrapText="1"/>
    </xf>
    <xf numFmtId="9" fontId="35" fillId="24" borderId="11" xfId="200" applyFont="1" applyFill="1" applyBorder="1" applyAlignment="1">
      <alignment horizontal="center"/>
    </xf>
    <xf numFmtId="166" fontId="49" fillId="24" borderId="11" xfId="0" applyFont="1" applyFill="1" applyBorder="1" applyAlignment="1">
      <alignment horizontal="center" vertical="center"/>
    </xf>
    <xf numFmtId="166" fontId="58" fillId="25" borderId="11" xfId="0" applyFont="1" applyFill="1" applyBorder="1"/>
    <xf numFmtId="0" fontId="28" fillId="24" borderId="18" xfId="0" applyNumberFormat="1" applyFont="1" applyFill="1" applyBorder="1" applyAlignment="1">
      <alignment horizontal="center"/>
    </xf>
    <xf numFmtId="166" fontId="28" fillId="24" borderId="0" xfId="0" applyFont="1" applyFill="1"/>
    <xf numFmtId="166" fontId="27" fillId="24" borderId="10" xfId="0" applyFont="1" applyFill="1" applyBorder="1"/>
    <xf numFmtId="166" fontId="27" fillId="0" borderId="12" xfId="0" applyFont="1" applyBorder="1"/>
    <xf numFmtId="166" fontId="27" fillId="24" borderId="18" xfId="0" applyFont="1" applyFill="1" applyBorder="1"/>
    <xf numFmtId="166" fontId="27" fillId="24" borderId="15" xfId="0" applyFont="1" applyFill="1" applyBorder="1"/>
    <xf numFmtId="166" fontId="27" fillId="0" borderId="10" xfId="0" pivotButton="1" applyFont="1" applyBorder="1"/>
    <xf numFmtId="166" fontId="28" fillId="24" borderId="10" xfId="0" applyFont="1" applyFill="1" applyBorder="1"/>
    <xf numFmtId="166" fontId="27" fillId="0" borderId="13" xfId="0" pivotButton="1" applyFont="1" applyBorder="1"/>
    <xf numFmtId="0" fontId="28" fillId="24" borderId="15" xfId="0" applyNumberFormat="1" applyFont="1" applyFill="1" applyBorder="1" applyAlignment="1">
      <alignment horizontal="center"/>
    </xf>
    <xf numFmtId="166" fontId="27" fillId="0" borderId="23" xfId="0" applyFont="1" applyBorder="1"/>
    <xf numFmtId="0" fontId="28" fillId="24" borderId="10" xfId="0" applyNumberFormat="1" applyFont="1" applyFill="1" applyBorder="1" applyAlignment="1">
      <alignment horizontal="center"/>
    </xf>
    <xf numFmtId="166" fontId="27" fillId="0" borderId="19" xfId="0" applyFont="1" applyBorder="1"/>
    <xf numFmtId="166" fontId="27" fillId="0" borderId="20" xfId="0" pivotButton="1" applyFont="1" applyBorder="1"/>
    <xf numFmtId="166" fontId="27" fillId="0" borderId="22" xfId="0" applyFont="1" applyBorder="1"/>
    <xf numFmtId="166" fontId="27" fillId="0" borderId="14" xfId="0" applyFont="1" applyBorder="1"/>
    <xf numFmtId="166" fontId="27" fillId="0" borderId="24" xfId="0" applyFont="1" applyBorder="1"/>
    <xf numFmtId="0" fontId="28" fillId="24" borderId="17" xfId="0" applyNumberFormat="1" applyFont="1" applyFill="1" applyBorder="1" applyAlignment="1">
      <alignment horizontal="center"/>
    </xf>
    <xf numFmtId="166" fontId="27" fillId="0" borderId="0" xfId="0" applyFont="1" applyAlignment="1">
      <alignment horizontal="left" vertical="top" wrapText="1"/>
    </xf>
    <xf numFmtId="166" fontId="29" fillId="0" borderId="0" xfId="199" applyAlignment="1">
      <alignment horizontal="left" vertical="top"/>
    </xf>
    <xf numFmtId="166" fontId="27" fillId="0" borderId="19" xfId="37" applyFont="1" applyBorder="1" applyAlignment="1">
      <alignment horizontal="left" vertical="top" wrapText="1"/>
    </xf>
    <xf numFmtId="166" fontId="30" fillId="24" borderId="0" xfId="37" applyFont="1" applyFill="1" applyAlignment="1">
      <alignment horizontal="left"/>
    </xf>
    <xf numFmtId="166" fontId="29" fillId="0" borderId="0" xfId="199" applyAlignment="1">
      <alignment horizontal="left"/>
    </xf>
    <xf numFmtId="166" fontId="34" fillId="0" borderId="0" xfId="37" applyFont="1" applyAlignment="1">
      <alignment horizontal="left" vertical="center" wrapText="1"/>
    </xf>
    <xf numFmtId="166" fontId="28" fillId="25" borderId="12" xfId="0" applyFont="1" applyFill="1" applyBorder="1" applyAlignment="1">
      <alignment horizontal="center"/>
    </xf>
    <xf numFmtId="166" fontId="28" fillId="25" borderId="11" xfId="0" applyFont="1" applyFill="1" applyBorder="1" applyAlignment="1">
      <alignment horizontal="center"/>
    </xf>
    <xf numFmtId="166" fontId="38" fillId="24" borderId="0" xfId="0" applyFont="1" applyFill="1" applyAlignment="1">
      <alignment horizontal="center" wrapText="1"/>
    </xf>
    <xf numFmtId="166" fontId="27" fillId="25" borderId="11" xfId="0" applyFont="1" applyFill="1" applyBorder="1" applyAlignment="1">
      <alignment horizontal="center" vertical="center"/>
    </xf>
    <xf numFmtId="166" fontId="38" fillId="24" borderId="19" xfId="0" applyFont="1" applyFill="1" applyBorder="1" applyAlignment="1">
      <alignment horizontal="center" wrapText="1"/>
    </xf>
  </cellXfs>
  <cellStyles count="201">
    <cellStyle name="20% - Accent1" xfId="1" builtinId="30" customBuiltin="1"/>
    <cellStyle name="20% - Accent1 2" xfId="52" xr:uid="{00000000-0005-0000-0000-000001000000}"/>
    <cellStyle name="20% - Accent1 3" xfId="96" xr:uid="{00000000-0005-0000-0000-000002000000}"/>
    <cellStyle name="20% - Accent1 4" xfId="143" xr:uid="{00000000-0005-0000-0000-000003000000}"/>
    <cellStyle name="20% - Accent2" xfId="2" builtinId="34" customBuiltin="1"/>
    <cellStyle name="20% - Accent2 2" xfId="53" xr:uid="{00000000-0005-0000-0000-000005000000}"/>
    <cellStyle name="20% - Accent2 3" xfId="97" xr:uid="{00000000-0005-0000-0000-000006000000}"/>
    <cellStyle name="20% - Accent2 4" xfId="144" xr:uid="{00000000-0005-0000-0000-000007000000}"/>
    <cellStyle name="20% - Accent3" xfId="3" builtinId="38" customBuiltin="1"/>
    <cellStyle name="20% - Accent3 2" xfId="54" xr:uid="{00000000-0005-0000-0000-000009000000}"/>
    <cellStyle name="20% - Accent3 3" xfId="98" xr:uid="{00000000-0005-0000-0000-00000A000000}"/>
    <cellStyle name="20% - Accent3 4" xfId="145" xr:uid="{00000000-0005-0000-0000-00000B000000}"/>
    <cellStyle name="20% - Accent4" xfId="4" builtinId="42" customBuiltin="1"/>
    <cellStyle name="20% - Accent4 2" xfId="55" xr:uid="{00000000-0005-0000-0000-00000D000000}"/>
    <cellStyle name="20% - Accent4 3" xfId="99" xr:uid="{00000000-0005-0000-0000-00000E000000}"/>
    <cellStyle name="20% - Accent4 4" xfId="146" xr:uid="{00000000-0005-0000-0000-00000F000000}"/>
    <cellStyle name="20% - Accent5" xfId="5" builtinId="46" customBuiltin="1"/>
    <cellStyle name="20% - Accent5 2" xfId="56" xr:uid="{00000000-0005-0000-0000-000011000000}"/>
    <cellStyle name="20% - Accent5 3" xfId="100" xr:uid="{00000000-0005-0000-0000-000012000000}"/>
    <cellStyle name="20% - Accent5 4" xfId="147" xr:uid="{00000000-0005-0000-0000-000013000000}"/>
    <cellStyle name="20% - Accent6" xfId="6" builtinId="50" customBuiltin="1"/>
    <cellStyle name="20% - Accent6 2" xfId="57" xr:uid="{00000000-0005-0000-0000-000015000000}"/>
    <cellStyle name="20% - Accent6 3" xfId="101" xr:uid="{00000000-0005-0000-0000-000016000000}"/>
    <cellStyle name="20% - Accent6 4" xfId="148" xr:uid="{00000000-0005-0000-0000-000017000000}"/>
    <cellStyle name="40% - Accent1" xfId="7" builtinId="31" customBuiltin="1"/>
    <cellStyle name="40% - Accent1 2" xfId="58" xr:uid="{00000000-0005-0000-0000-000019000000}"/>
    <cellStyle name="40% - Accent1 3" xfId="102" xr:uid="{00000000-0005-0000-0000-00001A000000}"/>
    <cellStyle name="40% - Accent1 4" xfId="149" xr:uid="{00000000-0005-0000-0000-00001B000000}"/>
    <cellStyle name="40% - Accent2" xfId="8" builtinId="35" customBuiltin="1"/>
    <cellStyle name="40% - Accent2 2" xfId="59" xr:uid="{00000000-0005-0000-0000-00001D000000}"/>
    <cellStyle name="40% - Accent2 3" xfId="103" xr:uid="{00000000-0005-0000-0000-00001E000000}"/>
    <cellStyle name="40% - Accent2 4" xfId="150" xr:uid="{00000000-0005-0000-0000-00001F000000}"/>
    <cellStyle name="40% - Accent3" xfId="9" builtinId="39" customBuiltin="1"/>
    <cellStyle name="40% - Accent3 2" xfId="60" xr:uid="{00000000-0005-0000-0000-000021000000}"/>
    <cellStyle name="40% - Accent3 3" xfId="104" xr:uid="{00000000-0005-0000-0000-000022000000}"/>
    <cellStyle name="40% - Accent3 4" xfId="151" xr:uid="{00000000-0005-0000-0000-000023000000}"/>
    <cellStyle name="40% - Accent4" xfId="10" builtinId="43" customBuiltin="1"/>
    <cellStyle name="40% - Accent4 2" xfId="61" xr:uid="{00000000-0005-0000-0000-000025000000}"/>
    <cellStyle name="40% - Accent4 3" xfId="105" xr:uid="{00000000-0005-0000-0000-000026000000}"/>
    <cellStyle name="40% - Accent4 4" xfId="152" xr:uid="{00000000-0005-0000-0000-000027000000}"/>
    <cellStyle name="40% - Accent5" xfId="11" builtinId="47" customBuiltin="1"/>
    <cellStyle name="40% - Accent5 2" xfId="62" xr:uid="{00000000-0005-0000-0000-000029000000}"/>
    <cellStyle name="40% - Accent5 3" xfId="106" xr:uid="{00000000-0005-0000-0000-00002A000000}"/>
    <cellStyle name="40% - Accent5 4" xfId="153" xr:uid="{00000000-0005-0000-0000-00002B000000}"/>
    <cellStyle name="40% - Accent6" xfId="12" builtinId="51" customBuiltin="1"/>
    <cellStyle name="40% - Accent6 2" xfId="63" xr:uid="{00000000-0005-0000-0000-00002D000000}"/>
    <cellStyle name="40% - Accent6 3" xfId="107" xr:uid="{00000000-0005-0000-0000-00002E000000}"/>
    <cellStyle name="40% - Accent6 4" xfId="154" xr:uid="{00000000-0005-0000-0000-00002F000000}"/>
    <cellStyle name="60% - Accent1" xfId="13" builtinId="32" customBuiltin="1"/>
    <cellStyle name="60% - Accent1 2" xfId="64" xr:uid="{00000000-0005-0000-0000-000031000000}"/>
    <cellStyle name="60% - Accent1 3" xfId="108" xr:uid="{00000000-0005-0000-0000-000032000000}"/>
    <cellStyle name="60% - Accent1 4" xfId="155" xr:uid="{00000000-0005-0000-0000-000033000000}"/>
    <cellStyle name="60% - Accent2" xfId="14" builtinId="36" customBuiltin="1"/>
    <cellStyle name="60% - Accent2 2" xfId="65" xr:uid="{00000000-0005-0000-0000-000035000000}"/>
    <cellStyle name="60% - Accent2 3" xfId="109" xr:uid="{00000000-0005-0000-0000-000036000000}"/>
    <cellStyle name="60% - Accent2 4" xfId="156" xr:uid="{00000000-0005-0000-0000-000037000000}"/>
    <cellStyle name="60% - Accent3" xfId="15" builtinId="40" customBuiltin="1"/>
    <cellStyle name="60% - Accent3 2" xfId="66" xr:uid="{00000000-0005-0000-0000-000039000000}"/>
    <cellStyle name="60% - Accent3 3" xfId="110" xr:uid="{00000000-0005-0000-0000-00003A000000}"/>
    <cellStyle name="60% - Accent3 4" xfId="157" xr:uid="{00000000-0005-0000-0000-00003B000000}"/>
    <cellStyle name="60% - Accent4" xfId="16" builtinId="44" customBuiltin="1"/>
    <cellStyle name="60% - Accent4 2" xfId="67" xr:uid="{00000000-0005-0000-0000-00003D000000}"/>
    <cellStyle name="60% - Accent4 3" xfId="111" xr:uid="{00000000-0005-0000-0000-00003E000000}"/>
    <cellStyle name="60% - Accent4 4" xfId="158" xr:uid="{00000000-0005-0000-0000-00003F000000}"/>
    <cellStyle name="60% - Accent5" xfId="17" builtinId="48" customBuiltin="1"/>
    <cellStyle name="60% - Accent5 2" xfId="68" xr:uid="{00000000-0005-0000-0000-000041000000}"/>
    <cellStyle name="60% - Accent5 3" xfId="112" xr:uid="{00000000-0005-0000-0000-000042000000}"/>
    <cellStyle name="60% - Accent5 4" xfId="159" xr:uid="{00000000-0005-0000-0000-000043000000}"/>
    <cellStyle name="60% - Accent6" xfId="18" builtinId="52" customBuiltin="1"/>
    <cellStyle name="60% - Accent6 2" xfId="69" xr:uid="{00000000-0005-0000-0000-000045000000}"/>
    <cellStyle name="60% - Accent6 3" xfId="113" xr:uid="{00000000-0005-0000-0000-000046000000}"/>
    <cellStyle name="60% - Accent6 4" xfId="160" xr:uid="{00000000-0005-0000-0000-000047000000}"/>
    <cellStyle name="Accent1" xfId="19" builtinId="29" customBuiltin="1"/>
    <cellStyle name="Accent1 2" xfId="70" xr:uid="{00000000-0005-0000-0000-000049000000}"/>
    <cellStyle name="Accent1 3" xfId="114" xr:uid="{00000000-0005-0000-0000-00004A000000}"/>
    <cellStyle name="Accent1 4" xfId="161" xr:uid="{00000000-0005-0000-0000-00004B000000}"/>
    <cellStyle name="Accent2" xfId="20" builtinId="33" customBuiltin="1"/>
    <cellStyle name="Accent2 2" xfId="71" xr:uid="{00000000-0005-0000-0000-00004D000000}"/>
    <cellStyle name="Accent2 3" xfId="115" xr:uid="{00000000-0005-0000-0000-00004E000000}"/>
    <cellStyle name="Accent2 4" xfId="162" xr:uid="{00000000-0005-0000-0000-00004F000000}"/>
    <cellStyle name="Accent3" xfId="21" builtinId="37" customBuiltin="1"/>
    <cellStyle name="Accent3 2" xfId="72" xr:uid="{00000000-0005-0000-0000-000051000000}"/>
    <cellStyle name="Accent3 3" xfId="116" xr:uid="{00000000-0005-0000-0000-000052000000}"/>
    <cellStyle name="Accent3 4" xfId="163" xr:uid="{00000000-0005-0000-0000-000053000000}"/>
    <cellStyle name="Accent4" xfId="22" builtinId="41" customBuiltin="1"/>
    <cellStyle name="Accent4 2" xfId="73" xr:uid="{00000000-0005-0000-0000-000055000000}"/>
    <cellStyle name="Accent4 3" xfId="117" xr:uid="{00000000-0005-0000-0000-000056000000}"/>
    <cellStyle name="Accent4 4" xfId="164" xr:uid="{00000000-0005-0000-0000-000057000000}"/>
    <cellStyle name="Accent5" xfId="23" builtinId="45" customBuiltin="1"/>
    <cellStyle name="Accent5 2" xfId="74" xr:uid="{00000000-0005-0000-0000-000059000000}"/>
    <cellStyle name="Accent5 3" xfId="118" xr:uid="{00000000-0005-0000-0000-00005A000000}"/>
    <cellStyle name="Accent5 4" xfId="165" xr:uid="{00000000-0005-0000-0000-00005B000000}"/>
    <cellStyle name="Accent6" xfId="24" builtinId="49" customBuiltin="1"/>
    <cellStyle name="Accent6 2" xfId="75" xr:uid="{00000000-0005-0000-0000-00005D000000}"/>
    <cellStyle name="Accent6 3" xfId="119" xr:uid="{00000000-0005-0000-0000-00005E000000}"/>
    <cellStyle name="Accent6 4" xfId="166" xr:uid="{00000000-0005-0000-0000-00005F000000}"/>
    <cellStyle name="Bad" xfId="25" builtinId="27" customBuiltin="1"/>
    <cellStyle name="Bad 2" xfId="76" xr:uid="{00000000-0005-0000-0000-000061000000}"/>
    <cellStyle name="Bad 3" xfId="120" xr:uid="{00000000-0005-0000-0000-000062000000}"/>
    <cellStyle name="Bad 4" xfId="167" xr:uid="{00000000-0005-0000-0000-000063000000}"/>
    <cellStyle name="Calculation" xfId="26" builtinId="22" customBuiltin="1"/>
    <cellStyle name="Calculation 2" xfId="77" xr:uid="{00000000-0005-0000-0000-000065000000}"/>
    <cellStyle name="Calculation 3" xfId="121" xr:uid="{00000000-0005-0000-0000-000066000000}"/>
    <cellStyle name="Calculation 4" xfId="168" xr:uid="{00000000-0005-0000-0000-000067000000}"/>
    <cellStyle name="Check Cell" xfId="27" builtinId="23" customBuiltin="1"/>
    <cellStyle name="Check Cell 2" xfId="78" xr:uid="{00000000-0005-0000-0000-000069000000}"/>
    <cellStyle name="Check Cell 3" xfId="122" xr:uid="{00000000-0005-0000-0000-00006A000000}"/>
    <cellStyle name="Check Cell 4" xfId="169" xr:uid="{00000000-0005-0000-0000-00006B000000}"/>
    <cellStyle name="Comma 2" xfId="45" xr:uid="{00000000-0005-0000-0000-00006C000000}"/>
    <cellStyle name="Comma 3" xfId="94" xr:uid="{00000000-0005-0000-0000-00006D000000}"/>
    <cellStyle name="Comma 4" xfId="123" xr:uid="{00000000-0005-0000-0000-00006E000000}"/>
    <cellStyle name="Comma 5" xfId="184" xr:uid="{00000000-0005-0000-0000-00006F000000}"/>
    <cellStyle name="Explanatory Text" xfId="28" builtinId="53" customBuiltin="1"/>
    <cellStyle name="Explanatory Text 2" xfId="79" xr:uid="{00000000-0005-0000-0000-000071000000}"/>
    <cellStyle name="Explanatory Text 3" xfId="124" xr:uid="{00000000-0005-0000-0000-000072000000}"/>
    <cellStyle name="Explanatory Text 4" xfId="170" xr:uid="{00000000-0005-0000-0000-000073000000}"/>
    <cellStyle name="Good" xfId="29" builtinId="26" customBuiltin="1"/>
    <cellStyle name="Good 2" xfId="80" xr:uid="{00000000-0005-0000-0000-000075000000}"/>
    <cellStyle name="Good 3" xfId="125" xr:uid="{00000000-0005-0000-0000-000076000000}"/>
    <cellStyle name="Good 4" xfId="171" xr:uid="{00000000-0005-0000-0000-000077000000}"/>
    <cellStyle name="Heading 1" xfId="30" builtinId="16" customBuiltin="1"/>
    <cellStyle name="Heading 1 2" xfId="81" xr:uid="{00000000-0005-0000-0000-000079000000}"/>
    <cellStyle name="Heading 1 3" xfId="126" xr:uid="{00000000-0005-0000-0000-00007A000000}"/>
    <cellStyle name="Heading 1 4" xfId="172" xr:uid="{00000000-0005-0000-0000-00007B000000}"/>
    <cellStyle name="Heading 2" xfId="31" builtinId="17" customBuiltin="1"/>
    <cellStyle name="Heading 2 2" xfId="82" xr:uid="{00000000-0005-0000-0000-00007D000000}"/>
    <cellStyle name="Heading 2 3" xfId="127" xr:uid="{00000000-0005-0000-0000-00007E000000}"/>
    <cellStyle name="Heading 2 4" xfId="173" xr:uid="{00000000-0005-0000-0000-00007F000000}"/>
    <cellStyle name="Heading 3" xfId="32" builtinId="18" customBuiltin="1"/>
    <cellStyle name="Heading 3 2" xfId="83" xr:uid="{00000000-0005-0000-0000-000081000000}"/>
    <cellStyle name="Heading 3 3" xfId="128" xr:uid="{00000000-0005-0000-0000-000082000000}"/>
    <cellStyle name="Heading 3 4" xfId="174" xr:uid="{00000000-0005-0000-0000-000083000000}"/>
    <cellStyle name="Heading 4" xfId="33" builtinId="19" customBuiltin="1"/>
    <cellStyle name="Heading 4 2" xfId="84" xr:uid="{00000000-0005-0000-0000-000085000000}"/>
    <cellStyle name="Heading 4 3" xfId="129" xr:uid="{00000000-0005-0000-0000-000086000000}"/>
    <cellStyle name="Heading 4 4" xfId="175" xr:uid="{00000000-0005-0000-0000-000087000000}"/>
    <cellStyle name="Hyperlink" xfId="199" builtinId="8"/>
    <cellStyle name="Hyperlink 2" xfId="93" xr:uid="{00000000-0005-0000-0000-000089000000}"/>
    <cellStyle name="Hyperlink 3" xfId="50" xr:uid="{00000000-0005-0000-0000-00008A000000}"/>
    <cellStyle name="Input" xfId="34" builtinId="20" customBuiltin="1"/>
    <cellStyle name="Input 2" xfId="85" xr:uid="{00000000-0005-0000-0000-00008C000000}"/>
    <cellStyle name="Input 3" xfId="130" xr:uid="{00000000-0005-0000-0000-00008D000000}"/>
    <cellStyle name="Input 4" xfId="176" xr:uid="{00000000-0005-0000-0000-00008E000000}"/>
    <cellStyle name="Linked Cell" xfId="35" builtinId="24" customBuiltin="1"/>
    <cellStyle name="Linked Cell 2" xfId="86" xr:uid="{00000000-0005-0000-0000-000090000000}"/>
    <cellStyle name="Linked Cell 3" xfId="131" xr:uid="{00000000-0005-0000-0000-000091000000}"/>
    <cellStyle name="Linked Cell 4" xfId="177" xr:uid="{00000000-0005-0000-0000-000092000000}"/>
    <cellStyle name="Neutral" xfId="36" builtinId="28" customBuiltin="1"/>
    <cellStyle name="Neutral 2" xfId="87" xr:uid="{00000000-0005-0000-0000-000094000000}"/>
    <cellStyle name="Neutral 3" xfId="132" xr:uid="{00000000-0005-0000-0000-000095000000}"/>
    <cellStyle name="Neutral 4" xfId="178" xr:uid="{00000000-0005-0000-0000-000096000000}"/>
    <cellStyle name="Normal" xfId="0" builtinId="0"/>
    <cellStyle name="Normal 10" xfId="188" xr:uid="{00000000-0005-0000-0000-000098000000}"/>
    <cellStyle name="Normal 11" xfId="141" xr:uid="{00000000-0005-0000-0000-000099000000}"/>
    <cellStyle name="Normal 11 2" xfId="190" xr:uid="{00000000-0005-0000-0000-00009A000000}"/>
    <cellStyle name="Normal 11 2 2" xfId="197" xr:uid="{00000000-0005-0000-0000-00009B000000}"/>
    <cellStyle name="Normal 11 3" xfId="194" xr:uid="{00000000-0005-0000-0000-00009C000000}"/>
    <cellStyle name="Normal 12" xfId="192" xr:uid="{00000000-0005-0000-0000-00009D000000}"/>
    <cellStyle name="Normal 2" xfId="37" xr:uid="{00000000-0005-0000-0000-00009E000000}"/>
    <cellStyle name="Normal 2 2" xfId="95" xr:uid="{00000000-0005-0000-0000-00009F000000}"/>
    <cellStyle name="Normal 2_Invest" xfId="133" xr:uid="{00000000-0005-0000-0000-0000A0000000}"/>
    <cellStyle name="Normal 3" xfId="47" xr:uid="{00000000-0005-0000-0000-0000A1000000}"/>
    <cellStyle name="Normal 4" xfId="46" xr:uid="{00000000-0005-0000-0000-0000A2000000}"/>
    <cellStyle name="Normal 4 2" xfId="48" xr:uid="{00000000-0005-0000-0000-0000A3000000}"/>
    <cellStyle name="Normal 4_Invest" xfId="134" xr:uid="{00000000-0005-0000-0000-0000A4000000}"/>
    <cellStyle name="Normal 5" xfId="51" xr:uid="{00000000-0005-0000-0000-0000A5000000}"/>
    <cellStyle name="Normal 6" xfId="49" xr:uid="{00000000-0005-0000-0000-0000A6000000}"/>
    <cellStyle name="Normal 6 2" xfId="186" xr:uid="{00000000-0005-0000-0000-0000A7000000}"/>
    <cellStyle name="Normal 6 2 2" xfId="191" xr:uid="{00000000-0005-0000-0000-0000A8000000}"/>
    <cellStyle name="Normal 6 2 2 2" xfId="198" xr:uid="{00000000-0005-0000-0000-0000A9000000}"/>
    <cellStyle name="Normal 6 2 3" xfId="195" xr:uid="{00000000-0005-0000-0000-0000AA000000}"/>
    <cellStyle name="Normal 6 3" xfId="189" xr:uid="{00000000-0005-0000-0000-0000AB000000}"/>
    <cellStyle name="Normal 6 3 2" xfId="196" xr:uid="{00000000-0005-0000-0000-0000AC000000}"/>
    <cellStyle name="Normal 6 4" xfId="193" xr:uid="{00000000-0005-0000-0000-0000AD000000}"/>
    <cellStyle name="Normal 7" xfId="135" xr:uid="{00000000-0005-0000-0000-0000AE000000}"/>
    <cellStyle name="Normal 8" xfId="142" xr:uid="{00000000-0005-0000-0000-0000AF000000}"/>
    <cellStyle name="Normal 9" xfId="185" xr:uid="{00000000-0005-0000-0000-0000B0000000}"/>
    <cellStyle name="Note" xfId="38" builtinId="10" customBuiltin="1"/>
    <cellStyle name="Note 2" xfId="43" xr:uid="{00000000-0005-0000-0000-0000B2000000}"/>
    <cellStyle name="Note 3" xfId="88" xr:uid="{00000000-0005-0000-0000-0000B3000000}"/>
    <cellStyle name="Note 4" xfId="136" xr:uid="{00000000-0005-0000-0000-0000B4000000}"/>
    <cellStyle name="Note 5" xfId="179" xr:uid="{00000000-0005-0000-0000-0000B5000000}"/>
    <cellStyle name="Output" xfId="39" builtinId="21" customBuiltin="1"/>
    <cellStyle name="Output 2" xfId="89" xr:uid="{00000000-0005-0000-0000-0000B7000000}"/>
    <cellStyle name="Output 3" xfId="137" xr:uid="{00000000-0005-0000-0000-0000B8000000}"/>
    <cellStyle name="Output 4" xfId="180" xr:uid="{00000000-0005-0000-0000-0000B9000000}"/>
    <cellStyle name="Percent" xfId="200" builtinId="5"/>
    <cellStyle name="Percent 2" xfId="44" xr:uid="{00000000-0005-0000-0000-0000BA000000}"/>
    <cellStyle name="Percent 3" xfId="187" xr:uid="{00000000-0005-0000-0000-0000BB000000}"/>
    <cellStyle name="Title" xfId="40" builtinId="15" customBuiltin="1"/>
    <cellStyle name="Title 2" xfId="90" xr:uid="{00000000-0005-0000-0000-0000BD000000}"/>
    <cellStyle name="Title 3" xfId="138" xr:uid="{00000000-0005-0000-0000-0000BE000000}"/>
    <cellStyle name="Title 4" xfId="181" xr:uid="{00000000-0005-0000-0000-0000BF000000}"/>
    <cellStyle name="Total" xfId="41" builtinId="25" customBuiltin="1"/>
    <cellStyle name="Total 2" xfId="91" xr:uid="{00000000-0005-0000-0000-0000C1000000}"/>
    <cellStyle name="Total 3" xfId="139" xr:uid="{00000000-0005-0000-0000-0000C2000000}"/>
    <cellStyle name="Total 4" xfId="182" xr:uid="{00000000-0005-0000-0000-0000C3000000}"/>
    <cellStyle name="Warning Text" xfId="42" builtinId="11" customBuiltin="1"/>
    <cellStyle name="Warning Text 2" xfId="92" xr:uid="{00000000-0005-0000-0000-0000C5000000}"/>
    <cellStyle name="Warning Text 3" xfId="140" xr:uid="{00000000-0005-0000-0000-0000C6000000}"/>
    <cellStyle name="Warning Text 4" xfId="183" xr:uid="{00000000-0005-0000-0000-0000C7000000}"/>
  </cellStyles>
  <dxfs count="576">
    <dxf>
      <font>
        <condense val="0"/>
        <extend val="0"/>
        <color rgb="FF9C0006"/>
      </font>
    </dxf>
    <dxf>
      <font>
        <condense val="0"/>
        <extend val="0"/>
        <color rgb="FF006100"/>
      </font>
      <fill>
        <patternFill>
          <bgColor rgb="FFC6EFCE"/>
        </patternFill>
      </fill>
    </dxf>
    <dxf>
      <font>
        <color rgb="FFFF0000"/>
      </font>
    </dxf>
    <dxf>
      <border>
        <left style="thin">
          <color rgb="FF9C0006"/>
        </left>
        <right style="thin">
          <color rgb="FF9C0006"/>
        </right>
        <top style="thin">
          <color rgb="FF9C0006"/>
        </top>
        <bottom style="thin">
          <color rgb="FF9C0006"/>
        </bottom>
        <vertical/>
        <horizontal/>
      </border>
    </dxf>
    <dxf>
      <font>
        <condense val="0"/>
        <extend val="0"/>
        <color rgb="FF9C0006"/>
      </font>
    </dxf>
    <dxf>
      <font>
        <condense val="0"/>
        <extend val="0"/>
        <color rgb="FF006100"/>
      </font>
      <fill>
        <patternFill>
          <bgColor rgb="FFC6EFCE"/>
        </patternFill>
      </fill>
    </dxf>
    <dxf>
      <font>
        <color rgb="FFFF0000"/>
      </font>
    </dxf>
    <dxf>
      <border>
        <left style="thin">
          <color rgb="FF9C0006"/>
        </left>
        <right style="thin">
          <color rgb="FF9C0006"/>
        </right>
        <top style="thin">
          <color rgb="FF9C0006"/>
        </top>
        <bottom style="thin">
          <color rgb="FF9C0006"/>
        </bottom>
        <vertical/>
        <horizontal/>
      </border>
    </dxf>
    <dxf>
      <font>
        <condense val="0"/>
        <extend val="0"/>
        <color rgb="FF9C0006"/>
      </font>
    </dxf>
    <dxf>
      <font>
        <condense val="0"/>
        <extend val="0"/>
        <color rgb="FF006100"/>
      </font>
      <fill>
        <patternFill>
          <bgColor rgb="FFC6EFCE"/>
        </patternFill>
      </fill>
    </dxf>
    <dxf>
      <font>
        <color rgb="FFFF0000"/>
      </font>
    </dxf>
    <dxf>
      <border>
        <left style="thin">
          <color rgb="FF9C0006"/>
        </left>
        <right style="thin">
          <color rgb="FF9C0006"/>
        </right>
        <top style="thin">
          <color rgb="FF9C0006"/>
        </top>
        <bottom style="thin">
          <color rgb="FF9C0006"/>
        </bottom>
        <vertical/>
        <horizontal/>
      </border>
    </dxf>
    <dxf>
      <font>
        <condense val="0"/>
        <extend val="0"/>
        <color rgb="FF9C0006"/>
      </font>
    </dxf>
    <dxf>
      <font>
        <condense val="0"/>
        <extend val="0"/>
        <color rgb="FF006100"/>
      </font>
      <fill>
        <patternFill>
          <bgColor rgb="FFC6EFCE"/>
        </patternFill>
      </fill>
    </dxf>
    <dxf>
      <font>
        <color rgb="FFFF0000"/>
      </font>
    </dxf>
    <dxf>
      <border>
        <left style="thin">
          <color rgb="FF9C0006"/>
        </left>
        <right style="thin">
          <color rgb="FF9C0006"/>
        </right>
        <top style="thin">
          <color rgb="FF9C0006"/>
        </top>
        <bottom style="thin">
          <color rgb="FF9C0006"/>
        </bottom>
        <vertical/>
        <horizontal/>
      </border>
    </dxf>
    <dxf>
      <border>
        <left style="thin">
          <color indexed="64"/>
        </left>
        <right style="thin">
          <color indexed="64"/>
        </right>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right style="thin">
          <color indexed="64"/>
        </right>
      </border>
    </dxf>
    <dxf>
      <border>
        <right style="thin">
          <color indexed="64"/>
        </right>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ont>
        <name val="Times New Roman"/>
        <family val="1"/>
      </font>
    </dxf>
    <dxf>
      <fill>
        <patternFill patternType="solid">
          <bgColor theme="0"/>
        </patternFill>
      </fill>
    </dxf>
    <dxf>
      <fill>
        <patternFill patternType="solid">
          <bgColor theme="0"/>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font>
        <b val="0"/>
        <i val="0"/>
        <strike val="0"/>
        <condense val="0"/>
        <extend val="0"/>
        <outline val="0"/>
        <shadow val="0"/>
        <u/>
        <vertAlign val="baseline"/>
        <sz val="10"/>
        <color theme="10"/>
        <name val="Times New Roman"/>
        <family val="1"/>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0"/>
        <color auto="1"/>
        <name val="Times New Roman"/>
        <family val="1"/>
        <scheme val="none"/>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Times New Roman"/>
        <family val="1"/>
        <scheme val="none"/>
      </font>
      <fill>
        <patternFill patternType="solid">
          <fgColor indexed="64"/>
          <bgColor theme="9"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numFmt numFmtId="166" formatCode="[$-409]dd\-mmm\-yy;@"/>
      <fill>
        <patternFill patternType="solid">
          <fgColor indexed="64"/>
          <bgColor theme="0"/>
        </patternFill>
      </fill>
      <alignment horizontal="center" textRotation="0" indent="0" justifyLastLine="0" shrinkToFit="0" readingOrder="0"/>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numFmt numFmtId="0" formatCode="General"/>
      <fill>
        <patternFill patternType="solid">
          <fgColor indexed="64"/>
          <bgColor theme="0"/>
        </patternFill>
      </fill>
      <alignment horizontal="center" vertical="center" textRotation="0" wrapText="1" indent="0" justifyLastLine="0" shrinkToFit="0" readingOrder="0"/>
    </dxf>
    <dxf>
      <border outline="0">
        <top style="thin">
          <color indexed="64"/>
        </top>
      </border>
    </dxf>
    <dxf>
      <border outline="0">
        <bottom style="thin">
          <color indexed="64"/>
        </bottom>
      </border>
    </dxf>
    <dxf>
      <font>
        <strike val="0"/>
        <outline val="0"/>
        <shadow val="0"/>
        <u val="none"/>
        <vertAlign val="baseline"/>
        <sz val="10"/>
        <color theme="1"/>
        <name val="Times New Roman"/>
        <family val="1"/>
        <scheme val="none"/>
      </font>
    </dxf>
    <dxf>
      <font>
        <strike val="0"/>
        <outline val="0"/>
        <shadow val="0"/>
        <u val="none"/>
        <vertAlign val="baseline"/>
        <sz val="11"/>
        <name val="Calibri"/>
        <family val="2"/>
        <scheme val="minor"/>
      </font>
      <fill>
        <patternFill patternType="none">
          <fgColor indexed="64"/>
          <bgColor auto="1"/>
        </patternFill>
      </fill>
    </dxf>
    <dxf>
      <font>
        <strike val="0"/>
        <outline val="0"/>
        <shadow val="0"/>
        <u val="none"/>
        <vertAlign val="baseline"/>
        <sz val="11"/>
        <name val="Calibri"/>
        <family val="2"/>
        <scheme val="minor"/>
      </font>
      <fill>
        <patternFill patternType="none">
          <fgColor indexed="64"/>
          <bgColor auto="1"/>
        </patternFill>
      </fill>
    </dxf>
    <dxf>
      <font>
        <b val="0"/>
        <strike val="0"/>
        <outline val="0"/>
        <shadow val="0"/>
        <u val="none"/>
        <vertAlign val="baseline"/>
        <sz val="11"/>
        <name val="Calibri"/>
        <family val="2"/>
        <scheme val="minor"/>
      </font>
      <fill>
        <patternFill patternType="none">
          <fgColor indexed="64"/>
          <bgColor auto="1"/>
        </patternFill>
      </fill>
    </dxf>
    <dxf>
      <font>
        <b val="0"/>
        <strike val="0"/>
        <outline val="0"/>
        <shadow val="0"/>
        <u val="none"/>
        <vertAlign val="baseline"/>
        <sz val="11"/>
        <name val="Calibri"/>
        <family val="2"/>
        <scheme val="minor"/>
      </font>
      <fill>
        <patternFill patternType="none">
          <fgColor indexed="64"/>
          <bgColor auto="1"/>
        </patternFill>
      </fill>
    </dxf>
    <dxf>
      <font>
        <b/>
        <strike val="0"/>
        <outline val="0"/>
        <shadow val="0"/>
        <u val="none"/>
        <vertAlign val="baseline"/>
        <sz val="11"/>
        <name val="Calibri"/>
        <family val="2"/>
        <scheme val="minor"/>
      </font>
      <fill>
        <patternFill patternType="none">
          <fgColor indexed="64"/>
          <bgColor auto="1"/>
        </patternFill>
      </fill>
    </dxf>
    <dxf>
      <font>
        <strike val="0"/>
        <outline val="0"/>
        <shadow val="0"/>
        <u val="none"/>
        <vertAlign val="baseline"/>
        <sz val="1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numFmt numFmtId="2" formatCode="0.0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numFmt numFmtId="166" formatCode="[$-409]dd\-mmm\-yy;@"/>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numFmt numFmtId="166" formatCode="[$-409]dd\-mmm\-yy;@"/>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numFmt numFmtId="0" formatCode="Genera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Times New Roman"/>
        <family val="1"/>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vertAlign val="baseline"/>
        <sz val="9"/>
        <name val="Calibri Light"/>
        <family val="2"/>
        <scheme val="none"/>
      </font>
      <alignment horizontal="general" vertical="center" textRotation="0" wrapText="0" indent="0" justifyLastLine="0" shrinkToFit="1" readingOrder="0"/>
    </dxf>
    <dxf>
      <font>
        <b val="0"/>
        <i val="0"/>
        <strike val="0"/>
        <condense val="0"/>
        <extend val="0"/>
        <outline val="0"/>
        <shadow val="0"/>
        <u val="none"/>
        <vertAlign val="baseline"/>
        <sz val="11"/>
        <color auto="1"/>
        <name val="Calibri Light"/>
        <family val="2"/>
        <scheme val="none"/>
      </font>
      <alignment vertical="center" textRotation="0" wrapText="0" indent="0" justifyLastLine="0" readingOrder="0"/>
    </dxf>
    <dxf>
      <font>
        <b val="0"/>
        <i val="0"/>
        <strike val="0"/>
        <condense val="0"/>
        <extend val="0"/>
        <outline val="0"/>
        <shadow val="0"/>
        <u val="none"/>
        <vertAlign val="baseline"/>
        <sz val="11"/>
        <color auto="1"/>
        <name val="Calibri Light"/>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Light"/>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Light"/>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Light"/>
        <family val="2"/>
        <scheme val="none"/>
      </font>
      <numFmt numFmtId="1" formatCode="0"/>
      <alignment horizontal="left" vertical="center" textRotation="0" wrapText="0" indent="0" justifyLastLine="0" shrinkToFit="0" readingOrder="0"/>
    </dxf>
    <dxf>
      <font>
        <b val="0"/>
        <i val="0"/>
        <strike val="0"/>
        <condense val="0"/>
        <extend val="0"/>
        <outline val="0"/>
        <shadow val="0"/>
        <u val="none"/>
        <vertAlign val="baseline"/>
        <sz val="11"/>
        <color auto="1"/>
        <name val="Calibri Light"/>
        <family val="2"/>
        <scheme val="none"/>
      </font>
      <alignmen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1"/>
        <color auto="1"/>
        <name val="Calibri Light"/>
        <family val="2"/>
        <scheme val="none"/>
      </font>
      <alignment vertical="center" textRotation="0" wrapText="0" indent="0" justifyLastLine="0" readingOrder="0"/>
    </dxf>
    <dxf>
      <border outline="0">
        <bottom style="thin">
          <color indexed="64"/>
        </bottom>
      </border>
    </dxf>
    <dxf>
      <font>
        <b/>
        <i val="0"/>
        <strike val="0"/>
        <condense val="0"/>
        <extend val="0"/>
        <outline val="0"/>
        <shadow val="0"/>
        <u val="none"/>
        <vertAlign val="baseline"/>
        <sz val="11"/>
        <color auto="1"/>
        <name val="Calibri Light"/>
        <family val="2"/>
        <scheme val="none"/>
      </font>
      <fill>
        <patternFill patternType="solid">
          <fgColor indexed="64"/>
          <bgColor theme="9" tint="0.79998168889431442"/>
        </patternFill>
      </fill>
      <alignment vertical="center"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Times New Roman"/>
        <family val="1"/>
        <charset val="204"/>
        <scheme val="none"/>
      </font>
      <numFmt numFmtId="2" formatCode="0.00"/>
      <alignment horizontal="center"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numFmt numFmtId="166" formatCode="[$-409]dd\-mmm\-yy;@"/>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numFmt numFmtId="166" formatCode="[$-409]dd\-mmm\-yy;@"/>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Times New Roman"/>
        <family val="1"/>
        <charset val="204"/>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Times New Roman"/>
        <family val="1"/>
        <charset val="204"/>
        <scheme val="none"/>
      </font>
      <numFmt numFmtId="0" formatCode="General"/>
      <alignment horizontal="center" vertical="top" textRotation="0" wrapText="1" indent="0" justifyLastLine="0" shrinkToFit="0" readingOrder="0"/>
    </dxf>
    <dxf>
      <border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1"/>
        <color auto="1"/>
        <name val="Times New Roman"/>
        <family val="1"/>
        <charset val="204"/>
        <scheme val="none"/>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Times New Roman"/>
        <family val="1"/>
        <charset val="204"/>
        <scheme val="none"/>
      </font>
      <fill>
        <patternFill patternType="solid">
          <fgColor indexed="64"/>
          <bgColor theme="9"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dxf>
    <dxf>
      <font>
        <b val="0"/>
        <i val="0"/>
        <strike val="0"/>
        <condense val="0"/>
        <extend val="0"/>
        <outline val="0"/>
        <shadow val="0"/>
        <u val="none"/>
        <vertAlign val="baseline"/>
        <sz val="11"/>
        <color auto="1"/>
        <name val="Times New Roman"/>
        <family val="1"/>
        <scheme val="none"/>
      </font>
      <numFmt numFmtId="2" formatCode="0.00"/>
      <alignment horizontal="general" vertical="top"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numFmt numFmtId="1" formatCode="0"/>
      <alignment horizontal="center"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top" textRotation="0" wrapText="1" indent="0" justifyLastLine="0" shrinkToFit="0" readingOrder="0"/>
    </dxf>
    <dxf>
      <font>
        <b/>
        <i val="0"/>
        <strike val="0"/>
        <condense val="0"/>
        <extend val="0"/>
        <outline val="0"/>
        <shadow val="0"/>
        <u val="none"/>
        <vertAlign val="baseline"/>
        <sz val="11"/>
        <color auto="1"/>
        <name val="Times New Roman"/>
        <family val="1"/>
        <scheme val="none"/>
      </font>
      <fill>
        <patternFill patternType="solid">
          <fgColor indexed="64"/>
          <bgColor theme="9" tint="0.79998168889431442"/>
        </patternFill>
      </fill>
      <alignment horizontal="center" vertical="bottom" textRotation="0" wrapText="1" indent="0" justifyLastLine="0" shrinkToFit="0" readingOrder="0"/>
    </dxf>
  </dxfs>
  <tableStyles count="0" defaultTableStyle="TableStyleMedium9" defaultPivotStyle="PivotStyleLight16"/>
  <colors>
    <mruColors>
      <color rgb="FFFF0000"/>
      <color rgb="FF0000FF"/>
      <color rgb="FF6699FF"/>
      <color rgb="FFFF9900"/>
      <color rgb="FFFFCC00"/>
      <color rgb="FFFFCC99"/>
      <color rgb="FF99CCFF"/>
      <color rgb="FF00CCFF"/>
      <color rgb="FFC0C0C0"/>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en-GB"/>
              <a:t>Number of pilot projects by type (including JCM)</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Analysis!$A$83:$A$96</c:f>
              <c:strCache>
                <c:ptCount val="14"/>
                <c:pt idx="0">
                  <c:v>Afforestation</c:v>
                </c:pt>
                <c:pt idx="1">
                  <c:v>Agriculture</c:v>
                </c:pt>
                <c:pt idx="2">
                  <c:v>HFCs</c:v>
                </c:pt>
                <c:pt idx="3">
                  <c:v>Hydro</c:v>
                </c:pt>
                <c:pt idx="4">
                  <c:v>Biomass Energy</c:v>
                </c:pt>
                <c:pt idx="5">
                  <c:v>EE supply side</c:v>
                </c:pt>
                <c:pt idx="6">
                  <c:v>Landfill gas</c:v>
                </c:pt>
                <c:pt idx="7">
                  <c:v>Methane avoidance</c:v>
                </c:pt>
                <c:pt idx="8">
                  <c:v>EE households</c:v>
                </c:pt>
                <c:pt idx="9">
                  <c:v>Transport</c:v>
                </c:pt>
                <c:pt idx="10">
                  <c:v>Energy distribution</c:v>
                </c:pt>
                <c:pt idx="11">
                  <c:v>EE service</c:v>
                </c:pt>
                <c:pt idx="12">
                  <c:v>Solar</c:v>
                </c:pt>
                <c:pt idx="13">
                  <c:v>EE Industry</c:v>
                </c:pt>
              </c:strCache>
            </c:strRef>
          </c:cat>
          <c:val>
            <c:numRef>
              <c:f>Analysis!$B$83:$B$96</c:f>
              <c:numCache>
                <c:formatCode>0</c:formatCode>
                <c:ptCount val="14"/>
                <c:pt idx="0">
                  <c:v>1</c:v>
                </c:pt>
                <c:pt idx="1">
                  <c:v>1</c:v>
                </c:pt>
                <c:pt idx="2">
                  <c:v>1</c:v>
                </c:pt>
                <c:pt idx="3">
                  <c:v>2</c:v>
                </c:pt>
                <c:pt idx="4">
                  <c:v>3</c:v>
                </c:pt>
                <c:pt idx="5">
                  <c:v>3</c:v>
                </c:pt>
                <c:pt idx="6">
                  <c:v>3</c:v>
                </c:pt>
                <c:pt idx="7">
                  <c:v>3</c:v>
                </c:pt>
                <c:pt idx="8">
                  <c:v>4</c:v>
                </c:pt>
                <c:pt idx="9">
                  <c:v>6</c:v>
                </c:pt>
                <c:pt idx="10">
                  <c:v>7</c:v>
                </c:pt>
                <c:pt idx="11">
                  <c:v>14</c:v>
                </c:pt>
                <c:pt idx="12">
                  <c:v>41</c:v>
                </c:pt>
                <c:pt idx="13">
                  <c:v>47</c:v>
                </c:pt>
              </c:numCache>
            </c:numRef>
          </c:val>
          <c:extLst>
            <c:ext xmlns:c16="http://schemas.microsoft.com/office/drawing/2014/chart" uri="{C3380CC4-5D6E-409C-BE32-E72D297353CC}">
              <c16:uniqueId val="{00000000-F58D-4841-9483-44071A80FC1D}"/>
            </c:ext>
          </c:extLst>
        </c:ser>
        <c:dLbls>
          <c:showLegendKey val="0"/>
          <c:showVal val="0"/>
          <c:showCatName val="0"/>
          <c:showSerName val="0"/>
          <c:showPercent val="0"/>
          <c:showBubbleSize val="0"/>
        </c:dLbls>
        <c:gapWidth val="219"/>
        <c:axId val="1228463976"/>
        <c:axId val="1228466856"/>
      </c:barChart>
      <c:catAx>
        <c:axId val="1228463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28466856"/>
        <c:crosses val="autoZero"/>
        <c:auto val="1"/>
        <c:lblAlgn val="ctr"/>
        <c:lblOffset val="100"/>
        <c:noMultiLvlLbl val="0"/>
      </c:catAx>
      <c:valAx>
        <c:axId val="12284668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28463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111125</xdr:colOff>
      <xdr:row>4</xdr:row>
      <xdr:rowOff>167308</xdr:rowOff>
    </xdr:to>
    <xdr:pic>
      <xdr:nvPicPr>
        <xdr:cNvPr id="2" name="Picture 254" descr="lee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2525" y="873585375"/>
          <a:ext cx="104775" cy="457200"/>
        </a:xfrm>
        <a:prstGeom prst="rect">
          <a:avLst/>
        </a:prstGeom>
        <a:noFill/>
        <a:ln w="9525">
          <a:noFill/>
          <a:miter lim="800000"/>
          <a:headEnd/>
          <a:tailEnd/>
        </a:ln>
      </xdr:spPr>
    </xdr:pic>
    <xdr:clientData/>
  </xdr:twoCellAnchor>
  <xdr:twoCellAnchor editAs="oneCell">
    <xdr:from>
      <xdr:col>1</xdr:col>
      <xdr:colOff>0</xdr:colOff>
      <xdr:row>4</xdr:row>
      <xdr:rowOff>0</xdr:rowOff>
    </xdr:from>
    <xdr:to>
      <xdr:col>1</xdr:col>
      <xdr:colOff>111125</xdr:colOff>
      <xdr:row>4</xdr:row>
      <xdr:rowOff>167308</xdr:rowOff>
    </xdr:to>
    <xdr:pic>
      <xdr:nvPicPr>
        <xdr:cNvPr id="3" name="Picture 254" descr="lee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2525" y="873585375"/>
          <a:ext cx="104775" cy="457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111125</xdr:colOff>
      <xdr:row>13</xdr:row>
      <xdr:rowOff>2208</xdr:rowOff>
    </xdr:to>
    <xdr:pic>
      <xdr:nvPicPr>
        <xdr:cNvPr id="2" name="Picture 254" descr="leer">
          <a:extLst>
            <a:ext uri="{FF2B5EF4-FFF2-40B4-BE49-F238E27FC236}">
              <a16:creationId xmlns:a16="http://schemas.microsoft.com/office/drawing/2014/main" id="{153909D6-4D59-4F52-BC86-1BFFCF3A87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1975" y="25536525"/>
          <a:ext cx="111125" cy="164133"/>
        </a:xfrm>
        <a:prstGeom prst="rect">
          <a:avLst/>
        </a:prstGeom>
        <a:noFill/>
        <a:ln w="9525">
          <a:noFill/>
          <a:miter lim="800000"/>
          <a:headEnd/>
          <a:tailEnd/>
        </a:ln>
      </xdr:spPr>
    </xdr:pic>
    <xdr:clientData/>
  </xdr:twoCellAnchor>
  <xdr:twoCellAnchor editAs="oneCell">
    <xdr:from>
      <xdr:col>1</xdr:col>
      <xdr:colOff>0</xdr:colOff>
      <xdr:row>10</xdr:row>
      <xdr:rowOff>0</xdr:rowOff>
    </xdr:from>
    <xdr:to>
      <xdr:col>1</xdr:col>
      <xdr:colOff>111125</xdr:colOff>
      <xdr:row>13</xdr:row>
      <xdr:rowOff>2208</xdr:rowOff>
    </xdr:to>
    <xdr:pic>
      <xdr:nvPicPr>
        <xdr:cNvPr id="3" name="Picture 254" descr="leer">
          <a:extLst>
            <a:ext uri="{FF2B5EF4-FFF2-40B4-BE49-F238E27FC236}">
              <a16:creationId xmlns:a16="http://schemas.microsoft.com/office/drawing/2014/main" id="{0782BA98-561F-4EFA-B22B-61255C5A4E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1975" y="25536525"/>
          <a:ext cx="111125" cy="16413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111125</xdr:colOff>
      <xdr:row>8</xdr:row>
      <xdr:rowOff>174928</xdr:rowOff>
    </xdr:to>
    <xdr:pic>
      <xdr:nvPicPr>
        <xdr:cNvPr id="2" name="Picture 254" descr="leer">
          <a:extLst>
            <a:ext uri="{FF2B5EF4-FFF2-40B4-BE49-F238E27FC236}">
              <a16:creationId xmlns:a16="http://schemas.microsoft.com/office/drawing/2014/main" id="{3231C9FF-9AA9-4876-9577-95F80358955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0550" y="45720000"/>
          <a:ext cx="111125" cy="164133"/>
        </a:xfrm>
        <a:prstGeom prst="rect">
          <a:avLst/>
        </a:prstGeom>
        <a:noFill/>
        <a:ln w="9525">
          <a:noFill/>
          <a:miter lim="800000"/>
          <a:headEnd/>
          <a:tailEnd/>
        </a:ln>
      </xdr:spPr>
    </xdr:pic>
    <xdr:clientData/>
  </xdr:twoCellAnchor>
  <xdr:twoCellAnchor editAs="oneCell">
    <xdr:from>
      <xdr:col>0</xdr:col>
      <xdr:colOff>0</xdr:colOff>
      <xdr:row>8</xdr:row>
      <xdr:rowOff>0</xdr:rowOff>
    </xdr:from>
    <xdr:to>
      <xdr:col>0</xdr:col>
      <xdr:colOff>111125</xdr:colOff>
      <xdr:row>8</xdr:row>
      <xdr:rowOff>174928</xdr:rowOff>
    </xdr:to>
    <xdr:pic>
      <xdr:nvPicPr>
        <xdr:cNvPr id="3" name="Picture 254" descr="leer">
          <a:extLst>
            <a:ext uri="{FF2B5EF4-FFF2-40B4-BE49-F238E27FC236}">
              <a16:creationId xmlns:a16="http://schemas.microsoft.com/office/drawing/2014/main" id="{61DE4753-F350-4FF6-8798-BBCFB80419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0550" y="45720000"/>
          <a:ext cx="111125" cy="16413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607786</xdr:colOff>
      <xdr:row>70</xdr:row>
      <xdr:rowOff>117929</xdr:rowOff>
    </xdr:from>
    <xdr:to>
      <xdr:col>14</xdr:col>
      <xdr:colOff>390072</xdr:colOff>
      <xdr:row>94</xdr:row>
      <xdr:rowOff>161018</xdr:rowOff>
    </xdr:to>
    <xdr:graphicFrame macro="">
      <xdr:nvGraphicFramePr>
        <xdr:cNvPr id="6" name="Chart 5">
          <a:extLst>
            <a:ext uri="{FF2B5EF4-FFF2-40B4-BE49-F238E27FC236}">
              <a16:creationId xmlns:a16="http://schemas.microsoft.com/office/drawing/2014/main" id="{0D1E8150-0011-4D55-839D-D5293C76E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iymgul Kerimray" id="{5042B08A-41EE-4B95-BD64-7A2909900CFA}" userId="S::aiymgul.kerimray@un.org::dbc0b184-529b-4890-a917-649cfd2aeca5"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nnick Leukers" refreshedDate="45170.6864255787" createdVersion="8" refreshedVersion="8" minRefreshableVersion="3" recordCount="61" xr:uid="{E5E2205F-9C4B-44E4-BAEC-422755E40F4F}">
  <cacheSource type="worksheet">
    <worksheetSource name="BAs"/>
  </cacheSource>
  <cacheFields count="7">
    <cacheField name="News title/Agreement title" numFmtId="0">
      <sharedItems longText="1"/>
    </cacheField>
    <cacheField name="Host Country" numFmtId="0">
      <sharedItems count="40">
        <s v="Ghana"/>
        <s v="Papua New Guinea"/>
        <s v="Peru"/>
        <s v="Mongolia"/>
        <s v="Colombia"/>
        <s v="Morocco"/>
        <s v="Vietnam"/>
        <s v="Gabon"/>
        <s v="Laos"/>
        <s v="Senegal"/>
        <s v="Georgia"/>
        <s v="Vanuatu"/>
        <s v="Dominica"/>
        <s v="Thailand"/>
        <s v="Ukraine"/>
        <s v="Malawi"/>
        <s v="Uruguay"/>
        <s v="Chile"/>
        <s v="Bangladesh"/>
        <s v="Ethiopia"/>
        <s v="Kenya"/>
        <s v="Maldives"/>
        <s v="Indonesia"/>
        <s v="Costa Rica"/>
        <s v="Palau"/>
        <s v="Cambodia"/>
        <s v="Mexico"/>
        <s v="Saudi Arabia"/>
        <s v="Myanmar"/>
        <s v="Philippines"/>
        <s v="Tunisia"/>
        <s v="Azerbaijan"/>
        <s v="Uzbekistan"/>
        <s v="Moldova"/>
        <s v="Sri Lanka"/>
        <s v="United Arab Emirates"/>
        <s v="Nepal"/>
        <s v="Dominican Republic"/>
        <s v="Bhutan"/>
        <s v="Fiji"/>
      </sharedItems>
    </cacheField>
    <cacheField name="Region" numFmtId="166">
      <sharedItems count="5">
        <s v="Africa"/>
        <s v="Oceania"/>
        <s v="Americas"/>
        <s v="Asia"/>
        <s v="Europe"/>
      </sharedItems>
    </cacheField>
    <cacheField name="Sub-region" numFmtId="166">
      <sharedItems count="15">
        <s v="Western Africa"/>
        <s v="Melanesia"/>
        <s v="South America"/>
        <s v="Eastern Asia"/>
        <s v="Northern Africa"/>
        <s v="Southeast Asia"/>
        <s v="Middle Africa"/>
        <s v="Western Asia"/>
        <s v="Caribbean"/>
        <s v="Eastern Europe"/>
        <s v="Eastern Africa"/>
        <s v="Southern Asia"/>
        <s v="Central America"/>
        <s v="Micronesia"/>
        <s v="Central Asia"/>
      </sharedItems>
    </cacheField>
    <cacheField name="Buying Country" numFmtId="0">
      <sharedItems count="6">
        <s v="Singapore"/>
        <s v="South Korea"/>
        <s v="Switzerland"/>
        <s v="Japan"/>
        <s v="Sweden"/>
        <s v="Australia"/>
      </sharedItems>
    </cacheField>
    <cacheField name="Date" numFmtId="166">
      <sharedItems containsSemiMixedTypes="0" containsNonDate="0" containsDate="1" containsString="0" minDate="2013-01-08T00:00:00" maxDate="2023-07-15T00:00:00"/>
    </cacheField>
    <cacheField name="Link" numFmtId="166">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s v="Singapore and Ghana Substantively Conclude Negotiations on Implementation Agreement on Cooperative Approaches aligned with Article 6 of the Paris Agreement"/>
    <x v="0"/>
    <x v="0"/>
    <x v="0"/>
    <x v="0"/>
    <d v="2022-11-15T00:00:00"/>
    <s v="https://www.mse.gov.sg/resource-room/category/2022-11-15-media-release-singapore-and-ghana-implementation-agreement-article-6"/>
  </r>
  <r>
    <s v="MOU Signing Ceremony with Papua New Guinea at the COP27 Singapore Pavilion - Ms Grace Fu"/>
    <x v="1"/>
    <x v="1"/>
    <x v="1"/>
    <x v="0"/>
    <d v="2022-11-14T00:00:00"/>
    <s v="https://www.mse.gov.sg/resource-room/category/2022-11-14-speech-by-minister-grace-fu-mou-signing-ceremony-papua-new-guinea"/>
  </r>
  <r>
    <s v="MOU Signing Ceremony with Peru at the COP27 Singapore Pavilion - Ms Grace Fu"/>
    <x v="2"/>
    <x v="2"/>
    <x v="2"/>
    <x v="0"/>
    <d v="2022-11-18T00:00:00"/>
    <s v="https://www.mse.gov.sg/resource-room/category/2022-11-18-speech-by-minister-grace-fu-mou-signing-peru"/>
  </r>
  <r>
    <s v="Singapore and Mongolia to Collaborate on Carbon Markets to Advance Climate Ambition"/>
    <x v="3"/>
    <x v="3"/>
    <x v="3"/>
    <x v="0"/>
    <d v="2023-06-09T00:00:00"/>
    <s v="https://www.mse.gov.sg/resource-room/category/2023-06-09-press-release-singapore-mongolia-mou-carbon-credits "/>
  </r>
  <r>
    <s v="Singapore signs MoU with Colombia for Article 6-guided cooperation on carbon credits"/>
    <x v="4"/>
    <x v="2"/>
    <x v="2"/>
    <x v="0"/>
    <d v="2022-08-03T00:00:00"/>
    <s v="https://carbon-pulse.com/168359/ "/>
  </r>
  <r>
    <s v="Morocco, Singapore Sign MoU on Cooperation under Paris Agreement's Article 6"/>
    <x v="5"/>
    <x v="0"/>
    <x v="4"/>
    <x v="0"/>
    <d v="2022-07-04T00:00:00"/>
    <s v="https://www.mapamazighe.ma/en/actualites/general/morocco-singapore-sign-mou-cooperation-under-paris-agreements-article-6 "/>
  </r>
  <r>
    <s v="Singapore and Vietnam sign Memorandums of understanding to collaborate on energy and carbon credits"/>
    <x v="6"/>
    <x v="3"/>
    <x v="5"/>
    <x v="0"/>
    <d v="2022-10-17T00:00:00"/>
    <s v="Singapore and Vietnam sign Memorandums of Understanding to Collaborate on Energy and Carbon Credits (mti.gov.sg)"/>
  </r>
  <r>
    <s v="South Korea and Mongolia to Pursue Cooperation in the Mitigation of GHG in Accordance with Article 6 of the Paris Agreement"/>
    <x v="3"/>
    <x v="3"/>
    <x v="3"/>
    <x v="1"/>
    <d v="2022-05-09T00:00:00"/>
    <s v="http://eng.me.go.kr/eng/web/board/read.do?menuId=461&amp;boardMasterId=522&amp;boardId=1523930 "/>
  </r>
  <r>
    <s v="Signing Ceremony for ROK-Vietnam Climate Change Agreement Takes Place"/>
    <x v="6"/>
    <x v="3"/>
    <x v="5"/>
    <x v="1"/>
    <d v="2021-05-31T00:00:00"/>
    <s v="https://www.mofa.go.kr/eng/brd/m_5676/view.do?seq=321700 "/>
  </r>
  <r>
    <s v="COP27: South Korea, Gabon flag potential Article 6 partnersh"/>
    <x v="7"/>
    <x v="0"/>
    <x v="6"/>
    <x v="1"/>
    <d v="2022-11-08T00:00:00"/>
    <s v="https://carbon-pulse.com/178909/ "/>
  </r>
  <r>
    <s v="South Korea secures bilateral carbon credit deal with Laos"/>
    <x v="8"/>
    <x v="3"/>
    <x v="5"/>
    <x v="1"/>
    <d v="2023-07-14T00:00:00"/>
    <s v="https://carbon-pulse.com/212266/?utm_source=CP+Daily&amp;utm_campaign=e2345ce8af-CPdaily13072023&amp;utm_medium=email&amp;utm_term=0_a9d8834f72-e2345ce8af-110444006"/>
  </r>
  <r>
    <s v="Implementing Agreement to the Paris Agreement between the Swiss Confederation and the Republic of Peru"/>
    <x v="2"/>
    <x v="2"/>
    <x v="2"/>
    <x v="2"/>
    <d v="2020-10-20T00:00:00"/>
    <s v="https://www.bafu.admin.ch/dam/bafu/en/dokumente/international/fachinfo-daten/Implementing%20Agreement%20to%20the%20Paris%20Agreemen_%20PE_CH_Signed.pdf.download.pdf/Implementing%20Agreement%20to%20the%20Paris%20Agreemen_%20PE_CH_Signed.pdf"/>
  </r>
  <r>
    <s v="Cooperation Agreement Switzerland-Ghana Implementation Paris Agreement"/>
    <x v="0"/>
    <x v="0"/>
    <x v="0"/>
    <x v="2"/>
    <d v="2021-11-24T00:00:00"/>
    <s v="https://www.bafu.admin.ch/dam/bafu/en/dokumente/international/fachinfo-daten/Cooperation%20Agreement%20CH-Ghana%20Implementation%20Paris%20Agreement.pdf.download.pdf/Cooperation%20Agreement%20CH-Ghana%20Implementation%20Paris%20Agreement.pdf"/>
  </r>
  <r>
    <s v="Agreement between Switzerland and Senegal on the implementation of the Paris Agreement"/>
    <x v="9"/>
    <x v="0"/>
    <x v="0"/>
    <x v="2"/>
    <d v="2021-07-06T00:00:00"/>
    <s v="https://www.bafu.admin.ch/dam/bafu/en/dokumente/international/fachinfo-daten/Accord%20entre%20la%20Suisse%20et%20le%20S%C3%A9n%C3%A9gal%20relatif%20%C3%A0%20la%20mise%20en%20oeuvre%20de%20l_Accord%20de%20Paris.pdf.download.pdf/Accord%20entre%20la%20Suisse%20et%20le%20S%C3%A9n%C3%A9gal%20relatif%20%C3%A0%20la%20mise%20en%20oeuvre%20de%20l_Accord%20de%20Paris.pdf"/>
  </r>
  <r>
    <s v="Implementing Agreement to Paris Agreement between the Swiss Confederation and Georgia"/>
    <x v="10"/>
    <x v="3"/>
    <x v="7"/>
    <x v="2"/>
    <d v="2021-10-18T00:00:00"/>
    <s v="https://www.bafu.admin.ch/dam/bafu/fr/dokumente/international/fachinfo-daten/Implementing%20Agreement%20to%20Paris%20Agreement%20between%20the%20Swiss%20Confederation%20and%20Georgia.pdf.download.pdf/Implementing%20Agreement%20to%20Paris%20Agreement%20between%20the%20Swiss%20Confederation%20and%20Georgia.pdf"/>
  </r>
  <r>
    <s v="Implementing Agreement to the Paris Agreement between the Swiss Confederation and the Republic of Vanuatu"/>
    <x v="11"/>
    <x v="1"/>
    <x v="1"/>
    <x v="2"/>
    <d v="2021-11-11T00:00:00"/>
    <s v="https://www.bafu.admin.ch/dam/bafu/en/dokumente/international/fachinfo-daten/Implementing%20Agreement%20to%20the%20Paris%20Agreement%20between%20the%20Swiss%20Confederation%20and%20the%20Republic%20of%20Vanuatu1.pdf.download.pdf/Implementing%20Agreement%20to%20the%20Paris%20Agreement%20between%20the%20Swiss%20Confederation%20and%20the%20Republic%20of%20Vanuatu1.pdf"/>
  </r>
  <r>
    <s v="Implementing Agreement to the Paris Agreement between the Swiss Confederation and the Commonwealth of Dominica"/>
    <x v="12"/>
    <x v="2"/>
    <x v="8"/>
    <x v="2"/>
    <d v="2021-11-11T00:00:00"/>
    <s v="https://www.bafu.admin.ch/dam/bafu/en/dokumente/international/fachinfo-daten/Implementing%20Agreement%20to%20the%20Paris%20Agreement%20between%20the%20Swiss%20Confederation%20and%20the%20Commonwealth%20of%20Dominica.pdf.download.pdf/Implementing%20Agreement%20to%20the%20Paris%20Agreement%20between%20the%20Swiss%20Confederation%20and%20the%20Commonwealth%20of%20Dominica.pdf"/>
  </r>
  <r>
    <s v="Implementing Agreement to Paris Agreement between the Swiss Confederation and the Kingdom of Thailand"/>
    <x v="13"/>
    <x v="3"/>
    <x v="5"/>
    <x v="2"/>
    <d v="2022-06-24T00:00:00"/>
    <s v="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
  </r>
  <r>
    <s v="Implementing Agreement to the Paris Agreement between the Swiss Federal Council and the Government of Ukraine"/>
    <x v="14"/>
    <x v="4"/>
    <x v="9"/>
    <x v="2"/>
    <d v="2022-07-04T00:00:00"/>
    <s v="https://www.bafu.admin.ch/dam/bafu/en/dokumente/international/fachinfo-daten/Implementing%20Agreement%20to%20the%20Paris%20Agreement%20between%20the%20Swiss%20Federal%20Council%20and%20the%20Government%20of%20Ukraine.pdf.download.pdf/Implementing%20Agreement%20to%20the%20Paris%20Agreement%20between%20the%20Swiss%20Federal%20Council%20and%20the%20Government%20of%20Ukraine.pdf"/>
  </r>
  <r>
    <s v="Agreement for the implementation of the Paris Agreement between the_x000a_Swiss Confederation and the Kingdom of Morocco"/>
    <x v="5"/>
    <x v="0"/>
    <x v="4"/>
    <x v="2"/>
    <d v="2022-11-07T00:00:00"/>
    <s v="https://www.bafu.admin.ch/dam/bafu/en/dokumente/international/fachinfo-daten/Accord%20de%20mise%20en%20oeuvre%20de%20l_Accord%20de%20Paris%20entre%20la%20Confederation%20suisse%20et%20le%20Royaume%20du%20Maroc.pdf.download.pdf/Accord%20de%20mise%20en%20oeuvre%20de%20l_Accord%20de%20Paris%20entre%20la%20Confederation%20suisse%20et%20le%20Royaume%20du%20Maroc.pdf"/>
  </r>
  <r>
    <s v="Implementing Agreement to the Paris Agreement between the Swiss Confederation and the Republic of Malawi"/>
    <x v="15"/>
    <x v="0"/>
    <x v="10"/>
    <x v="2"/>
    <d v="2022-11-16T00:00:00"/>
    <s v="https://www.bafu.admin.ch/dam/bafu/en/dokumente/international/fachinfo-daten/durchfuehrungsabkommen-zum-uebereinkommen-von-paris-zwischen-dem-schweizerischen-bundesrat-und-der-regierung-der-republik-malawi.pdf.download.pdf/durchfuehrungsabkommen-zum-uebereinkommen-von-paris-zwischen-dem-schweizerischen-bundesrat-und-der-regierung-der-republik-malawi.pdf"/>
  </r>
  <r>
    <s v="Implementing Agreement to the Paris Agreement between the Swiss Confederation and the Oriental Republic of Uruguay"/>
    <x v="16"/>
    <x v="2"/>
    <x v="2"/>
    <x v="2"/>
    <d v="2022-12-12T00:00:00"/>
    <s v="https://www.bafu.admin.ch/dam/bafu/en/dokumente/international/fachinfo-daten/durchfuehrungsabkommen-zum-uebereinkommen-von-paris-zwischen-der-schweizerischen-eidgenossenschaft-und-der-republik-oestlich-des-uruguay.pdf.download.pdf/Implementing%20Agreement%20to%20the%20Paris%20Agreement%20between%20the%20Swiss%20Confederation%20and%20the%20Oriental%20Republic%20of%20Uruguay%20-%20English.pdf"/>
  </r>
  <r>
    <s v="Joint Declaration between the Department of the Environment, Transport, Energy and Communication of the Swiss Confederation on the one part and the Ministry of Energy and the Ministry of the Environment of the Republic of Chile on the other, on Article 6 Cooperation at the Local Level (PDF, 252 kB, 03.03.2022)"/>
    <x v="17"/>
    <x v="2"/>
    <x v="2"/>
    <x v="2"/>
    <d v="2022-03-03T00:00:00"/>
    <s v="https://www.bafu.admin.ch/dam/bafu/en/dokumente/international/fachinfo-daten/Joint%20Declaration%20Switzerland%20Chile%20on%20Article%206%20Cooperation%20at%20Local%20Level.pdf.download.pdf/Joint%20Declaration%20Switzerland%20Chile%20on%20Article%206%20Cooperation%20at%20Local%20Level.pdf"/>
  </r>
  <r>
    <s v="Mongolia and Japan signed a bilateral document for the introduction of the JCM on January 8th, 2013."/>
    <x v="3"/>
    <x v="3"/>
    <x v="3"/>
    <x v="3"/>
    <d v="2013-01-08T00:00:00"/>
    <s v="https://www.jcm.go.jp/mn-jp/about"/>
  </r>
  <r>
    <s v="Bangladesh and Japan signed a bilateral document for the introduction of the JCM on March 19th, 2013."/>
    <x v="18"/>
    <x v="3"/>
    <x v="11"/>
    <x v="3"/>
    <d v="2013-03-19T00:00:00"/>
    <s v="https://www.jcm.go.jp/bd-jp/about "/>
  </r>
  <r>
    <s v="Ethiopia and Japan signed a bilateral document for the introduction of the JCM on May 27th, 2013."/>
    <x v="19"/>
    <x v="0"/>
    <x v="10"/>
    <x v="3"/>
    <d v="2013-05-27T00:00:00"/>
    <s v="https://www.jcm.go.jp/et-jp/about "/>
  </r>
  <r>
    <s v="Kenya and Japan signed a bilateral document for the introduction of the JCM on June 12th, 2013"/>
    <x v="20"/>
    <x v="0"/>
    <x v="10"/>
    <x v="3"/>
    <d v="2013-06-12T00:00:00"/>
    <s v="https://www.jcm.go.jp/ke-jp/about"/>
  </r>
  <r>
    <s v="Maldives and Japan signed a bilateral document for the introduction of the JCM on June 29th, 2013."/>
    <x v="21"/>
    <x v="3"/>
    <x v="11"/>
    <x v="3"/>
    <d v="2013-06-29T00:00:00"/>
    <s v="https://www.jcm.go.jp/mv-jp/about "/>
  </r>
  <r>
    <s v="Viet Nam and Japan signed a bilateral document for the introduction of the JCM on July 2th, 2013."/>
    <x v="6"/>
    <x v="3"/>
    <x v="5"/>
    <x v="3"/>
    <d v="2013-07-02T00:00:00"/>
    <s v="https://www.jcm.go.jp/vn-jp/about "/>
  </r>
  <r>
    <s v="Laos and Japan signed a bilateral document for the introduction of the JCM on August 7th, 2013."/>
    <x v="8"/>
    <x v="3"/>
    <x v="5"/>
    <x v="3"/>
    <d v="2013-08-07T00:00:00"/>
    <s v="https://www.jcm.go.jp/la-jp/about "/>
  </r>
  <r>
    <s v="Indonesia and Japan signed a bilateral document for the introduction of the JCM on August 26th, 2013."/>
    <x v="22"/>
    <x v="3"/>
    <x v="5"/>
    <x v="3"/>
    <d v="2013-08-26T00:00:00"/>
    <s v="https://www.jcm.go.jp/id-jp/about"/>
  </r>
  <r>
    <s v="Costa Rica and Japan signed a bilateral document for the introduction of the JCM on December 9th, 2013."/>
    <x v="23"/>
    <x v="2"/>
    <x v="12"/>
    <x v="3"/>
    <d v="2013-12-09T00:00:00"/>
    <s v="https://www.jcm.go.jp/cr-jp/about"/>
  </r>
  <r>
    <s v="Palau and Japan signed a bilateral document for the introduction of the JCM on January 13th, 2014."/>
    <x v="24"/>
    <x v="1"/>
    <x v="13"/>
    <x v="3"/>
    <d v="2014-01-13T00:00:00"/>
    <s v="https://www.jcm.go.jp/pw-jp/about"/>
  </r>
  <r>
    <s v="Cambodia and Japan signed a bilateral document for the introduction of the JCM on April 11th, 2014."/>
    <x v="25"/>
    <x v="3"/>
    <x v="5"/>
    <x v="3"/>
    <d v="2014-04-11T00:00:00"/>
    <s v="https://www.jcm.go.jp/kh-jp/about"/>
  </r>
  <r>
    <s v="Mexico and Japan signed a bilateral document for the introduction of the JCM on July 26th, 2014."/>
    <x v="26"/>
    <x v="2"/>
    <x v="12"/>
    <x v="3"/>
    <d v="2014-07-26T00:00:00"/>
    <s v="https://www.jcm.go.jp/mx-jp/about"/>
  </r>
  <r>
    <s v="The Kingdom of Saudi Arabia and Japan consented to estabilishing the JCM on May 13th, 2015."/>
    <x v="27"/>
    <x v="3"/>
    <x v="7"/>
    <x v="3"/>
    <d v="2015-05-13T00:00:00"/>
    <s v="https://www.jcm.go.jp/sa-jp/about "/>
  </r>
  <r>
    <s v="Chile and Japan signed a bilateral document for the introduction of the JCM on May 26th, 2015."/>
    <x v="17"/>
    <x v="2"/>
    <x v="2"/>
    <x v="3"/>
    <d v="2015-05-26T00:00:00"/>
    <s v="https://www.jcm.go.jp/cl-jp/about"/>
  </r>
  <r>
    <s v="Myanmar and Japan signed a bilateral document for the introduction of the JCM on September 16th, 2015."/>
    <x v="28"/>
    <x v="3"/>
    <x v="5"/>
    <x v="3"/>
    <d v="2015-09-16T00:00:00"/>
    <s v="https://www.jcm.go.jp/mm-jp/about"/>
  </r>
  <r>
    <s v="Thailand and Japan signed a bilateral document for the introduction of the JCM on November 19th, 2015."/>
    <x v="13"/>
    <x v="3"/>
    <x v="5"/>
    <x v="3"/>
    <d v="2015-11-19T00:00:00"/>
    <s v="https://www.jcm.go.jp/th-jp/about "/>
  </r>
  <r>
    <s v="The Philippines and Japan signed a bilateral document to start the JCM on January 12th, 2017."/>
    <x v="29"/>
    <x v="3"/>
    <x v="5"/>
    <x v="3"/>
    <d v="2017-01-12T00:00:00"/>
    <s v="https://www.jcm.go.jp/ph-jp/about"/>
  </r>
  <r>
    <s v="Japan and the Republic of Senegal sign the Memorandum of Cooperation for establishing the JCM"/>
    <x v="9"/>
    <x v="0"/>
    <x v="0"/>
    <x v="3"/>
    <d v="2022-08-25T00:00:00"/>
    <s v="https://www.env.go.jp/en/press/press_00492.html"/>
  </r>
  <r>
    <s v="Japan and the Republic of Tunisia sign the Memorandum of Cooperation for establishing the JCM"/>
    <x v="30"/>
    <x v="0"/>
    <x v="4"/>
    <x v="3"/>
    <d v="2022-08-26T00:00:00"/>
    <s v="https://www.env.go.jp/en/press/press_00412.html"/>
  </r>
  <r>
    <s v="Japan and the Republic of Azerbaijan sign the Memorandum of Cooperation for establishing the JCM"/>
    <x v="31"/>
    <x v="3"/>
    <x v="7"/>
    <x v="3"/>
    <d v="2022-09-05T00:00:00"/>
    <s v="https://www.env.go.jp/en/press/press_00510.html"/>
  </r>
  <r>
    <s v="Japan and the Republic of Uzbekistan Sign the Memorandum of Cooperation for Establishing the JCM"/>
    <x v="32"/>
    <x v="3"/>
    <x v="14"/>
    <x v="3"/>
    <d v="2022-10-25T00:00:00"/>
    <s v="https://www.env.go.jp/en/press/press_00694.html "/>
  </r>
  <r>
    <s v="Japan and the Republic of Moldova Sign the Memorandum of Cooperation for Establishing the JCM"/>
    <x v="33"/>
    <x v="4"/>
    <x v="9"/>
    <x v="3"/>
    <d v="2022-09-06T00:00:00"/>
    <s v="https://www.env.go.jp/en/press/press_00446.html "/>
  </r>
  <r>
    <s v="Japan and Georgia Sign the Memorandum of Cooperation for Establishing the JCM"/>
    <x v="10"/>
    <x v="3"/>
    <x v="7"/>
    <x v="3"/>
    <d v="2022-09-13T00:00:00"/>
    <s v="https://www.env.go.jp/en/press/press_00444.html"/>
  </r>
  <r>
    <s v="Japan and the Democratic Socialist Republic of Sri Lanka Sign the Memorandum of Cooperation for Establishing the JCM"/>
    <x v="34"/>
    <x v="3"/>
    <x v="11"/>
    <x v="3"/>
    <d v="2022-10-11T00:00:00"/>
    <s v="https://www.env.go.jp/en/press/press_00647.html"/>
  </r>
  <r>
    <s v="Japan and the Independent State of Papua New Guinea sign the Memorandum of Cooperation for Establishing the JCM"/>
    <x v="1"/>
    <x v="1"/>
    <x v="1"/>
    <x v="3"/>
    <d v="2022-11-18T00:00:00"/>
    <s v="https://www.env.go.jp/en/press/press_00744.html"/>
  </r>
  <r>
    <s v="Japan and United Arab Emirates sign the Memorandum of Cooperation for Establishing the JCM"/>
    <x v="35"/>
    <x v="3"/>
    <x v="7"/>
    <x v="3"/>
    <d v="2023-04-16T00:00:00"/>
    <s v="https://www.env.go.jp/en/press/press_01346.html"/>
  </r>
  <r>
    <s v="Memorandum of Understanding between Swedish Energy Agency, on behalf of The Government of Sweden and Ministry of Forests and Environment, on behalf of the Government of Nepal relating to cooperation for the implementation of Article 6 of the Paris Agreement"/>
    <x v="36"/>
    <x v="3"/>
    <x v="11"/>
    <x v="4"/>
    <d v="2022-06-01T00:00:00"/>
    <s v="https://www.energimyndigheten.se/48db4d/globalassets/webb-en/cooperation/international-climate-cooperation/mou-on-bilateral-cooperation-under-article-6-of-the-paris-agreement---sweden-and-nepal.pdf"/>
  </r>
  <r>
    <s v="Memorandum of Understanding between the Swedish Energy Agency, on behalf of the Government of Sweden and Environmental Protection Agency, on behalf of the Government of the Republic of Ghana relating to the expression of interest to cooperate for the implementation of Article 6 of the Paris Agreement."/>
    <x v="0"/>
    <x v="0"/>
    <x v="0"/>
    <x v="4"/>
    <d v="2021-11-09T00:00:00"/>
    <s v="https://www.energimyndigheten.se/48db4d/globalassets/webb-en/cooperation/international-climate-cooperation/mou-on-bilateral-cooperation-under-article-6-of-the-paris-agreement---sweden-and-ghana.pdf"/>
  </r>
  <r>
    <s v="Memorandum of Understanding between the Swedish Energy Agency, on behalf of the Government of Sweden and the Ministry of Environment and Natural Resources, on behalf of the Government of the Domican Republic relating to cooperation for the mplementation of Article 6 of the Paris Agreement."/>
    <x v="37"/>
    <x v="2"/>
    <x v="8"/>
    <x v="4"/>
    <d v="2022-06-03T00:00:00"/>
    <s v="https://www.energimyndigheten.se/48db4d/globalassets/webb-en/cooperation/international-climate-cooperation/mou-on-bilateral-cooperation-under-article-6-of-the-paris-agreement---sweden-and-dominican-republic.pdf"/>
  </r>
  <r>
    <s v="Thailand, Singapore target bilateral carbon market agreement"/>
    <x v="13"/>
    <x v="3"/>
    <x v="5"/>
    <x v="0"/>
    <d v="2022-10-01T00:00:00"/>
    <s v="Thailand, Singapore target bilateral carbon market agreement « Carbon Pulse (carbon-pulse.com)"/>
  </r>
  <r>
    <s v="Singapore, Cambodia sign Article 6 carbon trading MoU"/>
    <x v="25"/>
    <x v="3"/>
    <x v="5"/>
    <x v="0"/>
    <d v="2023-04-01T00:00:00"/>
    <s v="https://www.mse.gov.sg/resource-room/category/2023-06-06-ecosperity-week-2023"/>
  </r>
  <r>
    <s v="Singapore, Bhutan sign Article 6 carbon trading cooperation MoU"/>
    <x v="38"/>
    <x v="3"/>
    <x v="11"/>
    <x v="0"/>
    <d v="2023-05-01T00:00:00"/>
    <s v="https://www.mse.gov.sg/resource-room/category/2023-06-06-ecosperity-week-2023 https://carbon-pulse.com/203817/ https://carbon-pulse.com/201190/"/>
  </r>
  <r>
    <s v="Singapore, Kenya sign Article 6 MoU on carbon trading"/>
    <x v="20"/>
    <x v="0"/>
    <x v="10"/>
    <x v="0"/>
    <d v="2023-05-01T00:00:00"/>
    <s v="https://carbon-pulse.com/204221"/>
  </r>
  <r>
    <s v="Ghana, South Korea negotiate bilateral carbon trade deal"/>
    <x v="0"/>
    <x v="0"/>
    <x v="0"/>
    <x v="1"/>
    <d v="2023-06-01T00:00:00"/>
    <s v="https://carbon-pulse.com/207193/"/>
  </r>
  <r>
    <s v="Supporting climate action in the Indo-Pacific region"/>
    <x v="39"/>
    <x v="1"/>
    <x v="1"/>
    <x v="5"/>
    <d v="2021-11-01T00:00:00"/>
    <s v="https://www.dcceew.gov.au/climate-change/international-commitments/indo-pacific-region https://carbon-pulse.com/156054/"/>
  </r>
  <r>
    <s v="Supporting climate action in the Indo-Pacific region"/>
    <x v="1"/>
    <x v="1"/>
    <x v="1"/>
    <x v="5"/>
    <d v="2021-11-01T00:00:00"/>
    <s v="https://www.dcceew.gov.au/climate-change/international-commitments/indo-pacific-region https://carbon-pulse.com/156054/"/>
  </r>
  <r>
    <s v="Singapore and Dominican Republic sign Memorandum of Understanding to collaborate on carbon credits"/>
    <x v="37"/>
    <x v="2"/>
    <x v="8"/>
    <x v="0"/>
    <d v="2023-06-27T00:00:00"/>
    <s v="https://www.mti.gov.sg/-/media/MTI/Newsroom/Press-Releases/2023/06/Press-Release-on-Signing-of-SG-Dominican-Republic-carbon-credits-collaboration.pdf"/>
  </r>
  <r>
    <s v="Singapore and Indonesia Sign Memorandum of Understanding Concerning Cooperation on Climate Change and Sustainability"/>
    <x v="22"/>
    <x v="3"/>
    <x v="5"/>
    <x v="0"/>
    <d v="2022-03-01T00:00:00"/>
    <s v="Singapore and Indonesia Sign Memorandum of Understanding Concerning Cooperation on Climate Change and Sustainability (nccs.gov.sg)"/>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97D6AE7-7F8E-4D4A-AA40-C7BB253C11EF}" name="PivotTable12" cacheId="0" applyNumberFormats="0" applyBorderFormats="0" applyFontFormats="0" applyPatternFormats="0" applyAlignmentFormats="0" applyWidthHeightFormats="1" dataCaption="Values" updatedVersion="8" minRefreshableVersion="3" showDrill="0" itemPrintTitles="1" createdVersion="8" indent="0" compact="0" compactData="0" multipleFieldFilters="0">
  <location ref="A3:D65" firstHeaderRow="1" firstDataRow="1" firstDataCol="4"/>
  <pivotFields count="7">
    <pivotField compact="0" outline="0" showAll="0" defaultSubtotal="0"/>
    <pivotField axis="axisRow" compact="0" outline="0" showAll="0" defaultSubtotal="0">
      <items count="40">
        <item x="31"/>
        <item x="18"/>
        <item x="38"/>
        <item x="25"/>
        <item x="17"/>
        <item x="4"/>
        <item x="23"/>
        <item x="12"/>
        <item x="37"/>
        <item x="19"/>
        <item x="39"/>
        <item x="7"/>
        <item x="10"/>
        <item x="0"/>
        <item x="22"/>
        <item x="20"/>
        <item x="8"/>
        <item x="15"/>
        <item x="21"/>
        <item x="26"/>
        <item x="33"/>
        <item x="3"/>
        <item x="5"/>
        <item x="28"/>
        <item x="36"/>
        <item x="24"/>
        <item x="1"/>
        <item x="2"/>
        <item x="29"/>
        <item x="27"/>
        <item x="9"/>
        <item x="34"/>
        <item x="13"/>
        <item x="30"/>
        <item x="14"/>
        <item x="35"/>
        <item x="16"/>
        <item x="32"/>
        <item x="11"/>
        <item x="6"/>
      </items>
    </pivotField>
    <pivotField axis="axisRow" compact="0" outline="0" showAll="0" defaultSubtotal="0">
      <items count="5">
        <item x="0"/>
        <item x="2"/>
        <item x="3"/>
        <item x="4"/>
        <item x="1"/>
      </items>
    </pivotField>
    <pivotField axis="axisRow" compact="0" outline="0" showAll="0" defaultSubtotal="0">
      <items count="15">
        <item x="8"/>
        <item x="12"/>
        <item x="14"/>
        <item x="10"/>
        <item x="3"/>
        <item x="9"/>
        <item x="1"/>
        <item x="13"/>
        <item x="6"/>
        <item x="4"/>
        <item x="2"/>
        <item x="5"/>
        <item x="11"/>
        <item x="0"/>
        <item x="7"/>
      </items>
    </pivotField>
    <pivotField axis="axisRow" compact="0" outline="0" showAll="0" defaultSubtotal="0">
      <items count="6">
        <item x="5"/>
        <item x="3"/>
        <item x="0"/>
        <item x="1"/>
        <item x="4"/>
        <item x="2"/>
      </items>
    </pivotField>
    <pivotField compact="0" numFmtId="166" outline="0" showAll="0" defaultSubtotal="0"/>
    <pivotField compact="0" outline="0" showAll="0" defaultSubtotal="0"/>
  </pivotFields>
  <rowFields count="4">
    <field x="4"/>
    <field x="2"/>
    <field x="3"/>
    <field x="1"/>
  </rowFields>
  <rowItems count="62">
    <i>
      <x/>
      <x v="4"/>
      <x v="6"/>
      <x v="10"/>
    </i>
    <i r="3">
      <x v="26"/>
    </i>
    <i>
      <x v="1"/>
      <x/>
      <x v="3"/>
      <x v="9"/>
    </i>
    <i r="3">
      <x v="15"/>
    </i>
    <i r="2">
      <x v="9"/>
      <x v="33"/>
    </i>
    <i r="2">
      <x v="13"/>
      <x v="30"/>
    </i>
    <i r="1">
      <x v="1"/>
      <x v="1"/>
      <x v="6"/>
    </i>
    <i r="3">
      <x v="19"/>
    </i>
    <i r="2">
      <x v="10"/>
      <x v="4"/>
    </i>
    <i r="1">
      <x v="2"/>
      <x v="2"/>
      <x v="37"/>
    </i>
    <i r="2">
      <x v="4"/>
      <x v="21"/>
    </i>
    <i r="2">
      <x v="11"/>
      <x v="3"/>
    </i>
    <i r="3">
      <x v="14"/>
    </i>
    <i r="3">
      <x v="16"/>
    </i>
    <i r="3">
      <x v="23"/>
    </i>
    <i r="3">
      <x v="28"/>
    </i>
    <i r="3">
      <x v="32"/>
    </i>
    <i r="3">
      <x v="39"/>
    </i>
    <i r="2">
      <x v="12"/>
      <x v="1"/>
    </i>
    <i r="3">
      <x v="18"/>
    </i>
    <i r="3">
      <x v="31"/>
    </i>
    <i r="2">
      <x v="14"/>
      <x/>
    </i>
    <i r="3">
      <x v="12"/>
    </i>
    <i r="3">
      <x v="29"/>
    </i>
    <i r="3">
      <x v="35"/>
    </i>
    <i r="1">
      <x v="3"/>
      <x v="5"/>
      <x v="20"/>
    </i>
    <i r="1">
      <x v="4"/>
      <x v="6"/>
      <x v="26"/>
    </i>
    <i r="2">
      <x v="7"/>
      <x v="25"/>
    </i>
    <i>
      <x v="2"/>
      <x/>
      <x v="3"/>
      <x v="15"/>
    </i>
    <i r="2">
      <x v="9"/>
      <x v="22"/>
    </i>
    <i r="2">
      <x v="13"/>
      <x v="13"/>
    </i>
    <i r="1">
      <x v="1"/>
      <x/>
      <x v="8"/>
    </i>
    <i r="2">
      <x v="10"/>
      <x v="5"/>
    </i>
    <i r="3">
      <x v="27"/>
    </i>
    <i r="1">
      <x v="2"/>
      <x v="4"/>
      <x v="21"/>
    </i>
    <i r="2">
      <x v="11"/>
      <x v="3"/>
    </i>
    <i r="3">
      <x v="14"/>
    </i>
    <i r="3">
      <x v="32"/>
    </i>
    <i r="3">
      <x v="39"/>
    </i>
    <i r="2">
      <x v="12"/>
      <x v="2"/>
    </i>
    <i r="1">
      <x v="4"/>
      <x v="6"/>
      <x v="26"/>
    </i>
    <i>
      <x v="3"/>
      <x/>
      <x v="8"/>
      <x v="11"/>
    </i>
    <i r="2">
      <x v="13"/>
      <x v="13"/>
    </i>
    <i r="1">
      <x v="2"/>
      <x v="4"/>
      <x v="21"/>
    </i>
    <i r="2">
      <x v="11"/>
      <x v="16"/>
    </i>
    <i r="3">
      <x v="39"/>
    </i>
    <i>
      <x v="4"/>
      <x/>
      <x v="13"/>
      <x v="13"/>
    </i>
    <i r="1">
      <x v="1"/>
      <x/>
      <x v="8"/>
    </i>
    <i r="1">
      <x v="2"/>
      <x v="12"/>
      <x v="24"/>
    </i>
    <i>
      <x v="5"/>
      <x/>
      <x v="3"/>
      <x v="17"/>
    </i>
    <i r="2">
      <x v="9"/>
      <x v="22"/>
    </i>
    <i r="2">
      <x v="13"/>
      <x v="13"/>
    </i>
    <i r="3">
      <x v="30"/>
    </i>
    <i r="1">
      <x v="1"/>
      <x/>
      <x v="7"/>
    </i>
    <i r="2">
      <x v="10"/>
      <x v="4"/>
    </i>
    <i r="3">
      <x v="27"/>
    </i>
    <i r="3">
      <x v="36"/>
    </i>
    <i r="1">
      <x v="2"/>
      <x v="11"/>
      <x v="32"/>
    </i>
    <i r="2">
      <x v="14"/>
      <x v="12"/>
    </i>
    <i r="1">
      <x v="3"/>
      <x v="5"/>
      <x v="34"/>
    </i>
    <i r="1">
      <x v="4"/>
      <x v="6"/>
      <x v="38"/>
    </i>
    <i t="grand">
      <x/>
    </i>
  </rowItems>
  <colItems count="1">
    <i/>
  </colItems>
  <formats count="463">
    <format dxfId="478">
      <pivotArea field="4" type="button" dataOnly="0" labelOnly="1" outline="0" axis="axisRow" fieldPosition="0"/>
    </format>
    <format dxfId="477">
      <pivotArea field="2" type="button" dataOnly="0" labelOnly="1" outline="0" axis="axisRow" fieldPosition="1"/>
    </format>
    <format dxfId="476">
      <pivotArea field="3" type="button" dataOnly="0" labelOnly="1" outline="0" axis="axisRow" fieldPosition="2"/>
    </format>
    <format dxfId="475">
      <pivotArea field="1" type="button" dataOnly="0" labelOnly="1" outline="0" axis="axisRow" fieldPosition="3"/>
    </format>
    <format dxfId="474">
      <pivotArea type="all" dataOnly="0" outline="0" fieldPosition="0"/>
    </format>
    <format dxfId="473">
      <pivotArea field="4" type="button" dataOnly="0" labelOnly="1" outline="0" axis="axisRow" fieldPosition="0"/>
    </format>
    <format dxfId="472">
      <pivotArea field="2" type="button" dataOnly="0" labelOnly="1" outline="0" axis="axisRow" fieldPosition="1"/>
    </format>
    <format dxfId="471">
      <pivotArea field="3" type="button" dataOnly="0" labelOnly="1" outline="0" axis="axisRow" fieldPosition="2"/>
    </format>
    <format dxfId="470">
      <pivotArea field="1" type="button" dataOnly="0" labelOnly="1" outline="0" axis="axisRow" fieldPosition="3"/>
    </format>
    <format dxfId="469">
      <pivotArea dataOnly="0" labelOnly="1" outline="0" fieldPosition="0">
        <references count="1">
          <reference field="4" count="0"/>
        </references>
      </pivotArea>
    </format>
    <format dxfId="468">
      <pivotArea dataOnly="0" labelOnly="1" grandRow="1" outline="0" fieldPosition="0"/>
    </format>
    <format dxfId="467">
      <pivotArea dataOnly="0" labelOnly="1" outline="0" fieldPosition="0">
        <references count="2">
          <reference field="2" count="1">
            <x v="4"/>
          </reference>
          <reference field="4" count="1" selected="0">
            <x v="0"/>
          </reference>
        </references>
      </pivotArea>
    </format>
    <format dxfId="466">
      <pivotArea dataOnly="0" labelOnly="1" outline="0" fieldPosition="0">
        <references count="2">
          <reference field="2" count="0"/>
          <reference field="4" count="1" selected="0">
            <x v="1"/>
          </reference>
        </references>
      </pivotArea>
    </format>
    <format dxfId="465">
      <pivotArea dataOnly="0" labelOnly="1" outline="0" fieldPosition="0">
        <references count="2">
          <reference field="2" count="4">
            <x v="0"/>
            <x v="1"/>
            <x v="2"/>
            <x v="4"/>
          </reference>
          <reference field="4" count="1" selected="0">
            <x v="2"/>
          </reference>
        </references>
      </pivotArea>
    </format>
    <format dxfId="464">
      <pivotArea dataOnly="0" labelOnly="1" outline="0" fieldPosition="0">
        <references count="2">
          <reference field="2" count="2">
            <x v="0"/>
            <x v="2"/>
          </reference>
          <reference field="4" count="1" selected="0">
            <x v="3"/>
          </reference>
        </references>
      </pivotArea>
    </format>
    <format dxfId="463">
      <pivotArea dataOnly="0" labelOnly="1" outline="0" fieldPosition="0">
        <references count="2">
          <reference field="2" count="3">
            <x v="0"/>
            <x v="1"/>
            <x v="2"/>
          </reference>
          <reference field="4" count="1" selected="0">
            <x v="4"/>
          </reference>
        </references>
      </pivotArea>
    </format>
    <format dxfId="462">
      <pivotArea dataOnly="0" labelOnly="1" outline="0" fieldPosition="0">
        <references count="2">
          <reference field="2" count="0"/>
          <reference field="4" count="1" selected="0">
            <x v="5"/>
          </reference>
        </references>
      </pivotArea>
    </format>
    <format dxfId="461">
      <pivotArea dataOnly="0" labelOnly="1" outline="0" fieldPosition="0">
        <references count="3">
          <reference field="2" count="1" selected="0">
            <x v="4"/>
          </reference>
          <reference field="3" count="1">
            <x v="6"/>
          </reference>
          <reference field="4" count="1" selected="0">
            <x v="0"/>
          </reference>
        </references>
      </pivotArea>
    </format>
    <format dxfId="460">
      <pivotArea dataOnly="0" labelOnly="1" outline="0" fieldPosition="0">
        <references count="3">
          <reference field="2" count="1" selected="0">
            <x v="0"/>
          </reference>
          <reference field="3" count="3">
            <x v="3"/>
            <x v="9"/>
            <x v="13"/>
          </reference>
          <reference field="4" count="1" selected="0">
            <x v="1"/>
          </reference>
        </references>
      </pivotArea>
    </format>
    <format dxfId="459">
      <pivotArea dataOnly="0" labelOnly="1" outline="0" fieldPosition="0">
        <references count="3">
          <reference field="2" count="1" selected="0">
            <x v="1"/>
          </reference>
          <reference field="3" count="2">
            <x v="1"/>
            <x v="10"/>
          </reference>
          <reference field="4" count="1" selected="0">
            <x v="1"/>
          </reference>
        </references>
      </pivotArea>
    </format>
    <format dxfId="458">
      <pivotArea dataOnly="0" labelOnly="1" outline="0" fieldPosition="0">
        <references count="3">
          <reference field="2" count="1" selected="0">
            <x v="2"/>
          </reference>
          <reference field="3" count="5">
            <x v="2"/>
            <x v="4"/>
            <x v="11"/>
            <x v="12"/>
            <x v="14"/>
          </reference>
          <reference field="4" count="1" selected="0">
            <x v="1"/>
          </reference>
        </references>
      </pivotArea>
    </format>
    <format dxfId="457">
      <pivotArea dataOnly="0" labelOnly="1" outline="0" fieldPosition="0">
        <references count="3">
          <reference field="2" count="1" selected="0">
            <x v="3"/>
          </reference>
          <reference field="3" count="1">
            <x v="5"/>
          </reference>
          <reference field="4" count="1" selected="0">
            <x v="1"/>
          </reference>
        </references>
      </pivotArea>
    </format>
    <format dxfId="456">
      <pivotArea dataOnly="0" labelOnly="1" outline="0" fieldPosition="0">
        <references count="3">
          <reference field="2" count="1" selected="0">
            <x v="4"/>
          </reference>
          <reference field="3" count="2">
            <x v="6"/>
            <x v="7"/>
          </reference>
          <reference field="4" count="1" selected="0">
            <x v="1"/>
          </reference>
        </references>
      </pivotArea>
    </format>
    <format dxfId="455">
      <pivotArea dataOnly="0" labelOnly="1" outline="0" fieldPosition="0">
        <references count="3">
          <reference field="2" count="1" selected="0">
            <x v="0"/>
          </reference>
          <reference field="3" count="3">
            <x v="3"/>
            <x v="9"/>
            <x v="13"/>
          </reference>
          <reference field="4" count="1" selected="0">
            <x v="2"/>
          </reference>
        </references>
      </pivotArea>
    </format>
    <format dxfId="454">
      <pivotArea dataOnly="0" labelOnly="1" outline="0" fieldPosition="0">
        <references count="3">
          <reference field="2" count="1" selected="0">
            <x v="1"/>
          </reference>
          <reference field="3" count="2">
            <x v="0"/>
            <x v="10"/>
          </reference>
          <reference field="4" count="1" selected="0">
            <x v="2"/>
          </reference>
        </references>
      </pivotArea>
    </format>
    <format dxfId="453">
      <pivotArea dataOnly="0" labelOnly="1" outline="0" fieldPosition="0">
        <references count="3">
          <reference field="2" count="1" selected="0">
            <x v="2"/>
          </reference>
          <reference field="3" count="3">
            <x v="4"/>
            <x v="11"/>
            <x v="12"/>
          </reference>
          <reference field="4" count="1" selected="0">
            <x v="2"/>
          </reference>
        </references>
      </pivotArea>
    </format>
    <format dxfId="452">
      <pivotArea dataOnly="0" labelOnly="1" outline="0" fieldPosition="0">
        <references count="3">
          <reference field="2" count="1" selected="0">
            <x v="4"/>
          </reference>
          <reference field="3" count="1">
            <x v="6"/>
          </reference>
          <reference field="4" count="1" selected="0">
            <x v="2"/>
          </reference>
        </references>
      </pivotArea>
    </format>
    <format dxfId="451">
      <pivotArea dataOnly="0" labelOnly="1" outline="0" fieldPosition="0">
        <references count="3">
          <reference field="2" count="1" selected="0">
            <x v="0"/>
          </reference>
          <reference field="3" count="2">
            <x v="8"/>
            <x v="13"/>
          </reference>
          <reference field="4" count="1" selected="0">
            <x v="3"/>
          </reference>
        </references>
      </pivotArea>
    </format>
    <format dxfId="450">
      <pivotArea dataOnly="0" labelOnly="1" outline="0" fieldPosition="0">
        <references count="3">
          <reference field="2" count="1" selected="0">
            <x v="2"/>
          </reference>
          <reference field="3" count="2">
            <x v="4"/>
            <x v="11"/>
          </reference>
          <reference field="4" count="1" selected="0">
            <x v="3"/>
          </reference>
        </references>
      </pivotArea>
    </format>
    <format dxfId="449">
      <pivotArea dataOnly="0" labelOnly="1" outline="0" fieldPosition="0">
        <references count="3">
          <reference field="2" count="1" selected="0">
            <x v="0"/>
          </reference>
          <reference field="3" count="1">
            <x v="13"/>
          </reference>
          <reference field="4" count="1" selected="0">
            <x v="4"/>
          </reference>
        </references>
      </pivotArea>
    </format>
    <format dxfId="448">
      <pivotArea dataOnly="0" labelOnly="1" outline="0" fieldPosition="0">
        <references count="3">
          <reference field="2" count="1" selected="0">
            <x v="1"/>
          </reference>
          <reference field="3" count="1">
            <x v="0"/>
          </reference>
          <reference field="4" count="1" selected="0">
            <x v="4"/>
          </reference>
        </references>
      </pivotArea>
    </format>
    <format dxfId="447">
      <pivotArea dataOnly="0" labelOnly="1" outline="0" fieldPosition="0">
        <references count="3">
          <reference field="2" count="1" selected="0">
            <x v="2"/>
          </reference>
          <reference field="3" count="1">
            <x v="12"/>
          </reference>
          <reference field="4" count="1" selected="0">
            <x v="4"/>
          </reference>
        </references>
      </pivotArea>
    </format>
    <format dxfId="446">
      <pivotArea dataOnly="0" labelOnly="1" outline="0" fieldPosition="0">
        <references count="3">
          <reference field="2" count="1" selected="0">
            <x v="0"/>
          </reference>
          <reference field="3" count="3">
            <x v="3"/>
            <x v="9"/>
            <x v="13"/>
          </reference>
          <reference field="4" count="1" selected="0">
            <x v="5"/>
          </reference>
        </references>
      </pivotArea>
    </format>
    <format dxfId="445">
      <pivotArea dataOnly="0" labelOnly="1" outline="0" fieldPosition="0">
        <references count="3">
          <reference field="2" count="1" selected="0">
            <x v="1"/>
          </reference>
          <reference field="3" count="2">
            <x v="0"/>
            <x v="10"/>
          </reference>
          <reference field="4" count="1" selected="0">
            <x v="5"/>
          </reference>
        </references>
      </pivotArea>
    </format>
    <format dxfId="444">
      <pivotArea dataOnly="0" labelOnly="1" outline="0" fieldPosition="0">
        <references count="3">
          <reference field="2" count="1" selected="0">
            <x v="2"/>
          </reference>
          <reference field="3" count="2">
            <x v="11"/>
            <x v="14"/>
          </reference>
          <reference field="4" count="1" selected="0">
            <x v="5"/>
          </reference>
        </references>
      </pivotArea>
    </format>
    <format dxfId="443">
      <pivotArea dataOnly="0" labelOnly="1" outline="0" fieldPosition="0">
        <references count="3">
          <reference field="2" count="1" selected="0">
            <x v="3"/>
          </reference>
          <reference field="3" count="1">
            <x v="5"/>
          </reference>
          <reference field="4" count="1" selected="0">
            <x v="5"/>
          </reference>
        </references>
      </pivotArea>
    </format>
    <format dxfId="442">
      <pivotArea dataOnly="0" labelOnly="1" outline="0" fieldPosition="0">
        <references count="3">
          <reference field="2" count="1" selected="0">
            <x v="4"/>
          </reference>
          <reference field="3" count="1">
            <x v="6"/>
          </reference>
          <reference field="4" count="1" selected="0">
            <x v="5"/>
          </reference>
        </references>
      </pivotArea>
    </format>
    <format dxfId="441">
      <pivotArea dataOnly="0" labelOnly="1" outline="0" fieldPosition="0">
        <references count="4">
          <reference field="1" count="2">
            <x v="10"/>
            <x v="26"/>
          </reference>
          <reference field="2" count="1" selected="0">
            <x v="4"/>
          </reference>
          <reference field="3" count="1" selected="0">
            <x v="6"/>
          </reference>
          <reference field="4" count="1" selected="0">
            <x v="0"/>
          </reference>
        </references>
      </pivotArea>
    </format>
    <format dxfId="440">
      <pivotArea dataOnly="0" labelOnly="1" outline="0" fieldPosition="0">
        <references count="4">
          <reference field="1" count="2">
            <x v="9"/>
            <x v="15"/>
          </reference>
          <reference field="2" count="1" selected="0">
            <x v="0"/>
          </reference>
          <reference field="3" count="1" selected="0">
            <x v="3"/>
          </reference>
          <reference field="4" count="1" selected="0">
            <x v="1"/>
          </reference>
        </references>
      </pivotArea>
    </format>
    <format dxfId="439">
      <pivotArea dataOnly="0" labelOnly="1" outline="0" fieldPosition="0">
        <references count="4">
          <reference field="1" count="1">
            <x v="33"/>
          </reference>
          <reference field="2" count="1" selected="0">
            <x v="0"/>
          </reference>
          <reference field="3" count="1" selected="0">
            <x v="9"/>
          </reference>
          <reference field="4" count="1" selected="0">
            <x v="1"/>
          </reference>
        </references>
      </pivotArea>
    </format>
    <format dxfId="438">
      <pivotArea dataOnly="0" labelOnly="1" outline="0" fieldPosition="0">
        <references count="4">
          <reference field="1" count="1">
            <x v="30"/>
          </reference>
          <reference field="2" count="1" selected="0">
            <x v="0"/>
          </reference>
          <reference field="3" count="1" selected="0">
            <x v="13"/>
          </reference>
          <reference field="4" count="1" selected="0">
            <x v="1"/>
          </reference>
        </references>
      </pivotArea>
    </format>
    <format dxfId="437">
      <pivotArea dataOnly="0" labelOnly="1" outline="0" fieldPosition="0">
        <references count="4">
          <reference field="1" count="2">
            <x v="6"/>
            <x v="19"/>
          </reference>
          <reference field="2" count="1" selected="0">
            <x v="1"/>
          </reference>
          <reference field="3" count="1" selected="0">
            <x v="1"/>
          </reference>
          <reference field="4" count="1" selected="0">
            <x v="1"/>
          </reference>
        </references>
      </pivotArea>
    </format>
    <format dxfId="436">
      <pivotArea dataOnly="0" labelOnly="1" outline="0" fieldPosition="0">
        <references count="4">
          <reference field="1" count="1">
            <x v="4"/>
          </reference>
          <reference field="2" count="1" selected="0">
            <x v="1"/>
          </reference>
          <reference field="3" count="1" selected="0">
            <x v="10"/>
          </reference>
          <reference field="4" count="1" selected="0">
            <x v="1"/>
          </reference>
        </references>
      </pivotArea>
    </format>
    <format dxfId="435">
      <pivotArea dataOnly="0" labelOnly="1" outline="0" fieldPosition="0">
        <references count="4">
          <reference field="1" count="1">
            <x v="37"/>
          </reference>
          <reference field="2" count="1" selected="0">
            <x v="2"/>
          </reference>
          <reference field="3" count="1" selected="0">
            <x v="2"/>
          </reference>
          <reference field="4" count="1" selected="0">
            <x v="1"/>
          </reference>
        </references>
      </pivotArea>
    </format>
    <format dxfId="434">
      <pivotArea dataOnly="0" labelOnly="1" outline="0" fieldPosition="0">
        <references count="4">
          <reference field="1" count="1">
            <x v="21"/>
          </reference>
          <reference field="2" count="1" selected="0">
            <x v="2"/>
          </reference>
          <reference field="3" count="1" selected="0">
            <x v="4"/>
          </reference>
          <reference field="4" count="1" selected="0">
            <x v="1"/>
          </reference>
        </references>
      </pivotArea>
    </format>
    <format dxfId="433">
      <pivotArea dataOnly="0" labelOnly="1" outline="0" fieldPosition="0">
        <references count="4">
          <reference field="1" count="7">
            <x v="3"/>
            <x v="14"/>
            <x v="16"/>
            <x v="23"/>
            <x v="28"/>
            <x v="32"/>
            <x v="39"/>
          </reference>
          <reference field="2" count="1" selected="0">
            <x v="2"/>
          </reference>
          <reference field="3" count="1" selected="0">
            <x v="11"/>
          </reference>
          <reference field="4" count="1" selected="0">
            <x v="1"/>
          </reference>
        </references>
      </pivotArea>
    </format>
    <format dxfId="432">
      <pivotArea dataOnly="0" labelOnly="1" outline="0" fieldPosition="0">
        <references count="4">
          <reference field="1" count="3">
            <x v="1"/>
            <x v="18"/>
            <x v="31"/>
          </reference>
          <reference field="2" count="1" selected="0">
            <x v="2"/>
          </reference>
          <reference field="3" count="1" selected="0">
            <x v="12"/>
          </reference>
          <reference field="4" count="1" selected="0">
            <x v="1"/>
          </reference>
        </references>
      </pivotArea>
    </format>
    <format dxfId="431">
      <pivotArea dataOnly="0" labelOnly="1" outline="0" fieldPosition="0">
        <references count="4">
          <reference field="1" count="4">
            <x v="0"/>
            <x v="12"/>
            <x v="29"/>
            <x v="35"/>
          </reference>
          <reference field="2" count="1" selected="0">
            <x v="2"/>
          </reference>
          <reference field="3" count="1" selected="0">
            <x v="14"/>
          </reference>
          <reference field="4" count="1" selected="0">
            <x v="1"/>
          </reference>
        </references>
      </pivotArea>
    </format>
    <format dxfId="430">
      <pivotArea dataOnly="0" labelOnly="1" outline="0" fieldPosition="0">
        <references count="4">
          <reference field="1" count="1">
            <x v="20"/>
          </reference>
          <reference field="2" count="1" selected="0">
            <x v="3"/>
          </reference>
          <reference field="3" count="1" selected="0">
            <x v="5"/>
          </reference>
          <reference field="4" count="1" selected="0">
            <x v="1"/>
          </reference>
        </references>
      </pivotArea>
    </format>
    <format dxfId="429">
      <pivotArea dataOnly="0" labelOnly="1" outline="0" fieldPosition="0">
        <references count="4">
          <reference field="1" count="1">
            <x v="26"/>
          </reference>
          <reference field="2" count="1" selected="0">
            <x v="4"/>
          </reference>
          <reference field="3" count="1" selected="0">
            <x v="6"/>
          </reference>
          <reference field="4" count="1" selected="0">
            <x v="1"/>
          </reference>
        </references>
      </pivotArea>
    </format>
    <format dxfId="428">
      <pivotArea dataOnly="0" labelOnly="1" outline="0" fieldPosition="0">
        <references count="4">
          <reference field="1" count="1">
            <x v="25"/>
          </reference>
          <reference field="2" count="1" selected="0">
            <x v="4"/>
          </reference>
          <reference field="3" count="1" selected="0">
            <x v="7"/>
          </reference>
          <reference field="4" count="1" selected="0">
            <x v="1"/>
          </reference>
        </references>
      </pivotArea>
    </format>
    <format dxfId="427">
      <pivotArea dataOnly="0" labelOnly="1" outline="0" fieldPosition="0">
        <references count="4">
          <reference field="1" count="1">
            <x v="15"/>
          </reference>
          <reference field="2" count="1" selected="0">
            <x v="0"/>
          </reference>
          <reference field="3" count="1" selected="0">
            <x v="3"/>
          </reference>
          <reference field="4" count="1" selected="0">
            <x v="2"/>
          </reference>
        </references>
      </pivotArea>
    </format>
    <format dxfId="426">
      <pivotArea dataOnly="0" labelOnly="1" outline="0" fieldPosition="0">
        <references count="4">
          <reference field="1" count="1">
            <x v="22"/>
          </reference>
          <reference field="2" count="1" selected="0">
            <x v="0"/>
          </reference>
          <reference field="3" count="1" selected="0">
            <x v="9"/>
          </reference>
          <reference field="4" count="1" selected="0">
            <x v="2"/>
          </reference>
        </references>
      </pivotArea>
    </format>
    <format dxfId="425">
      <pivotArea dataOnly="0" labelOnly="1" outline="0" fieldPosition="0">
        <references count="4">
          <reference field="1" count="1">
            <x v="13"/>
          </reference>
          <reference field="2" count="1" selected="0">
            <x v="0"/>
          </reference>
          <reference field="3" count="1" selected="0">
            <x v="13"/>
          </reference>
          <reference field="4" count="1" selected="0">
            <x v="2"/>
          </reference>
        </references>
      </pivotArea>
    </format>
    <format dxfId="424">
      <pivotArea dataOnly="0" labelOnly="1" outline="0" fieldPosition="0">
        <references count="4">
          <reference field="1" count="1">
            <x v="8"/>
          </reference>
          <reference field="2" count="1" selected="0">
            <x v="1"/>
          </reference>
          <reference field="3" count="1" selected="0">
            <x v="0"/>
          </reference>
          <reference field="4" count="1" selected="0">
            <x v="2"/>
          </reference>
        </references>
      </pivotArea>
    </format>
    <format dxfId="423">
      <pivotArea dataOnly="0" labelOnly="1" outline="0" fieldPosition="0">
        <references count="4">
          <reference field="1" count="2">
            <x v="5"/>
            <x v="27"/>
          </reference>
          <reference field="2" count="1" selected="0">
            <x v="1"/>
          </reference>
          <reference field="3" count="1" selected="0">
            <x v="10"/>
          </reference>
          <reference field="4" count="1" selected="0">
            <x v="2"/>
          </reference>
        </references>
      </pivotArea>
    </format>
    <format dxfId="422">
      <pivotArea dataOnly="0" labelOnly="1" outline="0" fieldPosition="0">
        <references count="4">
          <reference field="1" count="1">
            <x v="21"/>
          </reference>
          <reference field="2" count="1" selected="0">
            <x v="2"/>
          </reference>
          <reference field="3" count="1" selected="0">
            <x v="4"/>
          </reference>
          <reference field="4" count="1" selected="0">
            <x v="2"/>
          </reference>
        </references>
      </pivotArea>
    </format>
    <format dxfId="421">
      <pivotArea dataOnly="0" labelOnly="1" outline="0" fieldPosition="0">
        <references count="4">
          <reference field="1" count="4">
            <x v="3"/>
            <x v="14"/>
            <x v="32"/>
            <x v="39"/>
          </reference>
          <reference field="2" count="1" selected="0">
            <x v="2"/>
          </reference>
          <reference field="3" count="1" selected="0">
            <x v="11"/>
          </reference>
          <reference field="4" count="1" selected="0">
            <x v="2"/>
          </reference>
        </references>
      </pivotArea>
    </format>
    <format dxfId="420">
      <pivotArea dataOnly="0" labelOnly="1" outline="0" fieldPosition="0">
        <references count="4">
          <reference field="1" count="1">
            <x v="2"/>
          </reference>
          <reference field="2" count="1" selected="0">
            <x v="2"/>
          </reference>
          <reference field="3" count="1" selected="0">
            <x v="12"/>
          </reference>
          <reference field="4" count="1" selected="0">
            <x v="2"/>
          </reference>
        </references>
      </pivotArea>
    </format>
    <format dxfId="419">
      <pivotArea dataOnly="0" labelOnly="1" outline="0" fieldPosition="0">
        <references count="4">
          <reference field="1" count="1">
            <x v="26"/>
          </reference>
          <reference field="2" count="1" selected="0">
            <x v="4"/>
          </reference>
          <reference field="3" count="1" selected="0">
            <x v="6"/>
          </reference>
          <reference field="4" count="1" selected="0">
            <x v="2"/>
          </reference>
        </references>
      </pivotArea>
    </format>
    <format dxfId="418">
      <pivotArea dataOnly="0" labelOnly="1" outline="0" fieldPosition="0">
        <references count="4">
          <reference field="1" count="1">
            <x v="11"/>
          </reference>
          <reference field="2" count="1" selected="0">
            <x v="0"/>
          </reference>
          <reference field="3" count="1" selected="0">
            <x v="8"/>
          </reference>
          <reference field="4" count="1" selected="0">
            <x v="3"/>
          </reference>
        </references>
      </pivotArea>
    </format>
    <format dxfId="417">
      <pivotArea dataOnly="0" labelOnly="1" outline="0" fieldPosition="0">
        <references count="4">
          <reference field="1" count="1">
            <x v="13"/>
          </reference>
          <reference field="2" count="1" selected="0">
            <x v="0"/>
          </reference>
          <reference field="3" count="1" selected="0">
            <x v="13"/>
          </reference>
          <reference field="4" count="1" selected="0">
            <x v="3"/>
          </reference>
        </references>
      </pivotArea>
    </format>
    <format dxfId="416">
      <pivotArea dataOnly="0" labelOnly="1" outline="0" fieldPosition="0">
        <references count="4">
          <reference field="1" count="1">
            <x v="21"/>
          </reference>
          <reference field="2" count="1" selected="0">
            <x v="2"/>
          </reference>
          <reference field="3" count="1" selected="0">
            <x v="4"/>
          </reference>
          <reference field="4" count="1" selected="0">
            <x v="3"/>
          </reference>
        </references>
      </pivotArea>
    </format>
    <format dxfId="415">
      <pivotArea dataOnly="0" labelOnly="1" outline="0" fieldPosition="0">
        <references count="4">
          <reference field="1" count="2">
            <x v="16"/>
            <x v="39"/>
          </reference>
          <reference field="2" count="1" selected="0">
            <x v="2"/>
          </reference>
          <reference field="3" count="1" selected="0">
            <x v="11"/>
          </reference>
          <reference field="4" count="1" selected="0">
            <x v="3"/>
          </reference>
        </references>
      </pivotArea>
    </format>
    <format dxfId="414">
      <pivotArea dataOnly="0" labelOnly="1" outline="0" fieldPosition="0">
        <references count="4">
          <reference field="1" count="1">
            <x v="13"/>
          </reference>
          <reference field="2" count="1" selected="0">
            <x v="0"/>
          </reference>
          <reference field="3" count="1" selected="0">
            <x v="13"/>
          </reference>
          <reference field="4" count="1" selected="0">
            <x v="4"/>
          </reference>
        </references>
      </pivotArea>
    </format>
    <format dxfId="413">
      <pivotArea dataOnly="0" labelOnly="1" outline="0" fieldPosition="0">
        <references count="4">
          <reference field="1" count="1">
            <x v="8"/>
          </reference>
          <reference field="2" count="1" selected="0">
            <x v="1"/>
          </reference>
          <reference field="3" count="1" selected="0">
            <x v="0"/>
          </reference>
          <reference field="4" count="1" selected="0">
            <x v="4"/>
          </reference>
        </references>
      </pivotArea>
    </format>
    <format dxfId="412">
      <pivotArea dataOnly="0" labelOnly="1" outline="0" fieldPosition="0">
        <references count="4">
          <reference field="1" count="1">
            <x v="24"/>
          </reference>
          <reference field="2" count="1" selected="0">
            <x v="2"/>
          </reference>
          <reference field="3" count="1" selected="0">
            <x v="12"/>
          </reference>
          <reference field="4" count="1" selected="0">
            <x v="4"/>
          </reference>
        </references>
      </pivotArea>
    </format>
    <format dxfId="411">
      <pivotArea dataOnly="0" labelOnly="1" outline="0" fieldPosition="0">
        <references count="4">
          <reference field="1" count="1">
            <x v="17"/>
          </reference>
          <reference field="2" count="1" selected="0">
            <x v="0"/>
          </reference>
          <reference field="3" count="1" selected="0">
            <x v="3"/>
          </reference>
          <reference field="4" count="1" selected="0">
            <x v="5"/>
          </reference>
        </references>
      </pivotArea>
    </format>
    <format dxfId="410">
      <pivotArea dataOnly="0" labelOnly="1" outline="0" fieldPosition="0">
        <references count="4">
          <reference field="1" count="1">
            <x v="22"/>
          </reference>
          <reference field="2" count="1" selected="0">
            <x v="0"/>
          </reference>
          <reference field="3" count="1" selected="0">
            <x v="9"/>
          </reference>
          <reference field="4" count="1" selected="0">
            <x v="5"/>
          </reference>
        </references>
      </pivotArea>
    </format>
    <format dxfId="409">
      <pivotArea dataOnly="0" labelOnly="1" outline="0" fieldPosition="0">
        <references count="4">
          <reference field="1" count="2">
            <x v="13"/>
            <x v="30"/>
          </reference>
          <reference field="2" count="1" selected="0">
            <x v="0"/>
          </reference>
          <reference field="3" count="1" selected="0">
            <x v="13"/>
          </reference>
          <reference field="4" count="1" selected="0">
            <x v="5"/>
          </reference>
        </references>
      </pivotArea>
    </format>
    <format dxfId="408">
      <pivotArea dataOnly="0" labelOnly="1" outline="0" fieldPosition="0">
        <references count="4">
          <reference field="1" count="1">
            <x v="7"/>
          </reference>
          <reference field="2" count="1" selected="0">
            <x v="1"/>
          </reference>
          <reference field="3" count="1" selected="0">
            <x v="0"/>
          </reference>
          <reference field="4" count="1" selected="0">
            <x v="5"/>
          </reference>
        </references>
      </pivotArea>
    </format>
    <format dxfId="407">
      <pivotArea dataOnly="0" labelOnly="1" outline="0" fieldPosition="0">
        <references count="4">
          <reference field="1" count="3">
            <x v="4"/>
            <x v="27"/>
            <x v="36"/>
          </reference>
          <reference field="2" count="1" selected="0">
            <x v="1"/>
          </reference>
          <reference field="3" count="1" selected="0">
            <x v="10"/>
          </reference>
          <reference field="4" count="1" selected="0">
            <x v="5"/>
          </reference>
        </references>
      </pivotArea>
    </format>
    <format dxfId="406">
      <pivotArea dataOnly="0" labelOnly="1" outline="0" fieldPosition="0">
        <references count="4">
          <reference field="1" count="1">
            <x v="32"/>
          </reference>
          <reference field="2" count="1" selected="0">
            <x v="2"/>
          </reference>
          <reference field="3" count="1" selected="0">
            <x v="11"/>
          </reference>
          <reference field="4" count="1" selected="0">
            <x v="5"/>
          </reference>
        </references>
      </pivotArea>
    </format>
    <format dxfId="405">
      <pivotArea dataOnly="0" labelOnly="1" outline="0" fieldPosition="0">
        <references count="4">
          <reference field="1" count="1">
            <x v="12"/>
          </reference>
          <reference field="2" count="1" selected="0">
            <x v="2"/>
          </reference>
          <reference field="3" count="1" selected="0">
            <x v="14"/>
          </reference>
          <reference field="4" count="1" selected="0">
            <x v="5"/>
          </reference>
        </references>
      </pivotArea>
    </format>
    <format dxfId="404">
      <pivotArea dataOnly="0" labelOnly="1" outline="0" fieldPosition="0">
        <references count="4">
          <reference field="1" count="1">
            <x v="34"/>
          </reference>
          <reference field="2" count="1" selected="0">
            <x v="3"/>
          </reference>
          <reference field="3" count="1" selected="0">
            <x v="5"/>
          </reference>
          <reference field="4" count="1" selected="0">
            <x v="5"/>
          </reference>
        </references>
      </pivotArea>
    </format>
    <format dxfId="403">
      <pivotArea dataOnly="0" labelOnly="1" outline="0" fieldPosition="0">
        <references count="4">
          <reference field="1" count="1">
            <x v="38"/>
          </reference>
          <reference field="2" count="1" selected="0">
            <x v="4"/>
          </reference>
          <reference field="3" count="1" selected="0">
            <x v="6"/>
          </reference>
          <reference field="4" count="1" selected="0">
            <x v="5"/>
          </reference>
        </references>
      </pivotArea>
    </format>
    <format dxfId="402">
      <pivotArea type="all" dataOnly="0" outline="0" fieldPosition="0"/>
    </format>
    <format dxfId="401">
      <pivotArea field="4" type="button" dataOnly="0" labelOnly="1" outline="0" axis="axisRow" fieldPosition="0"/>
    </format>
    <format dxfId="400">
      <pivotArea field="2" type="button" dataOnly="0" labelOnly="1" outline="0" axis="axisRow" fieldPosition="1"/>
    </format>
    <format dxfId="399">
      <pivotArea field="3" type="button" dataOnly="0" labelOnly="1" outline="0" axis="axisRow" fieldPosition="2"/>
    </format>
    <format dxfId="398">
      <pivotArea field="1" type="button" dataOnly="0" labelOnly="1" outline="0" axis="axisRow" fieldPosition="3"/>
    </format>
    <format dxfId="397">
      <pivotArea dataOnly="0" labelOnly="1" outline="0" fieldPosition="0">
        <references count="1">
          <reference field="4" count="0"/>
        </references>
      </pivotArea>
    </format>
    <format dxfId="396">
      <pivotArea dataOnly="0" labelOnly="1" grandRow="1" outline="0" fieldPosition="0"/>
    </format>
    <format dxfId="395">
      <pivotArea dataOnly="0" labelOnly="1" outline="0" fieldPosition="0">
        <references count="2">
          <reference field="2" count="1">
            <x v="4"/>
          </reference>
          <reference field="4" count="1" selected="0">
            <x v="0"/>
          </reference>
        </references>
      </pivotArea>
    </format>
    <format dxfId="394">
      <pivotArea dataOnly="0" labelOnly="1" outline="0" fieldPosition="0">
        <references count="2">
          <reference field="2" count="0"/>
          <reference field="4" count="1" selected="0">
            <x v="1"/>
          </reference>
        </references>
      </pivotArea>
    </format>
    <format dxfId="393">
      <pivotArea dataOnly="0" labelOnly="1" outline="0" fieldPosition="0">
        <references count="2">
          <reference field="2" count="4">
            <x v="0"/>
            <x v="1"/>
            <x v="2"/>
            <x v="4"/>
          </reference>
          <reference field="4" count="1" selected="0">
            <x v="2"/>
          </reference>
        </references>
      </pivotArea>
    </format>
    <format dxfId="392">
      <pivotArea dataOnly="0" labelOnly="1" outline="0" fieldPosition="0">
        <references count="2">
          <reference field="2" count="2">
            <x v="0"/>
            <x v="2"/>
          </reference>
          <reference field="4" count="1" selected="0">
            <x v="3"/>
          </reference>
        </references>
      </pivotArea>
    </format>
    <format dxfId="391">
      <pivotArea dataOnly="0" labelOnly="1" outline="0" fieldPosition="0">
        <references count="2">
          <reference field="2" count="3">
            <x v="0"/>
            <x v="1"/>
            <x v="2"/>
          </reference>
          <reference field="4" count="1" selected="0">
            <x v="4"/>
          </reference>
        </references>
      </pivotArea>
    </format>
    <format dxfId="390">
      <pivotArea dataOnly="0" labelOnly="1" outline="0" fieldPosition="0">
        <references count="2">
          <reference field="2" count="0"/>
          <reference field="4" count="1" selected="0">
            <x v="5"/>
          </reference>
        </references>
      </pivotArea>
    </format>
    <format dxfId="389">
      <pivotArea dataOnly="0" labelOnly="1" outline="0" fieldPosition="0">
        <references count="3">
          <reference field="2" count="1" selected="0">
            <x v="4"/>
          </reference>
          <reference field="3" count="1">
            <x v="6"/>
          </reference>
          <reference field="4" count="1" selected="0">
            <x v="0"/>
          </reference>
        </references>
      </pivotArea>
    </format>
    <format dxfId="388">
      <pivotArea dataOnly="0" labelOnly="1" outline="0" fieldPosition="0">
        <references count="3">
          <reference field="2" count="1" selected="0">
            <x v="0"/>
          </reference>
          <reference field="3" count="3">
            <x v="3"/>
            <x v="9"/>
            <x v="13"/>
          </reference>
          <reference field="4" count="1" selected="0">
            <x v="1"/>
          </reference>
        </references>
      </pivotArea>
    </format>
    <format dxfId="387">
      <pivotArea dataOnly="0" labelOnly="1" outline="0" fieldPosition="0">
        <references count="3">
          <reference field="2" count="1" selected="0">
            <x v="1"/>
          </reference>
          <reference field="3" count="2">
            <x v="1"/>
            <x v="10"/>
          </reference>
          <reference field="4" count="1" selected="0">
            <x v="1"/>
          </reference>
        </references>
      </pivotArea>
    </format>
    <format dxfId="386">
      <pivotArea dataOnly="0" labelOnly="1" outline="0" fieldPosition="0">
        <references count="3">
          <reference field="2" count="1" selected="0">
            <x v="2"/>
          </reference>
          <reference field="3" count="5">
            <x v="2"/>
            <x v="4"/>
            <x v="11"/>
            <x v="12"/>
            <x v="14"/>
          </reference>
          <reference field="4" count="1" selected="0">
            <x v="1"/>
          </reference>
        </references>
      </pivotArea>
    </format>
    <format dxfId="385">
      <pivotArea dataOnly="0" labelOnly="1" outline="0" fieldPosition="0">
        <references count="3">
          <reference field="2" count="1" selected="0">
            <x v="3"/>
          </reference>
          <reference field="3" count="1">
            <x v="5"/>
          </reference>
          <reference field="4" count="1" selected="0">
            <x v="1"/>
          </reference>
        </references>
      </pivotArea>
    </format>
    <format dxfId="384">
      <pivotArea dataOnly="0" labelOnly="1" outline="0" fieldPosition="0">
        <references count="3">
          <reference field="2" count="1" selected="0">
            <x v="4"/>
          </reference>
          <reference field="3" count="2">
            <x v="6"/>
            <x v="7"/>
          </reference>
          <reference field="4" count="1" selected="0">
            <x v="1"/>
          </reference>
        </references>
      </pivotArea>
    </format>
    <format dxfId="383">
      <pivotArea dataOnly="0" labelOnly="1" outline="0" fieldPosition="0">
        <references count="3">
          <reference field="2" count="1" selected="0">
            <x v="0"/>
          </reference>
          <reference field="3" count="3">
            <x v="3"/>
            <x v="9"/>
            <x v="13"/>
          </reference>
          <reference field="4" count="1" selected="0">
            <x v="2"/>
          </reference>
        </references>
      </pivotArea>
    </format>
    <format dxfId="382">
      <pivotArea dataOnly="0" labelOnly="1" outline="0" fieldPosition="0">
        <references count="3">
          <reference field="2" count="1" selected="0">
            <x v="1"/>
          </reference>
          <reference field="3" count="2">
            <x v="0"/>
            <x v="10"/>
          </reference>
          <reference field="4" count="1" selected="0">
            <x v="2"/>
          </reference>
        </references>
      </pivotArea>
    </format>
    <format dxfId="381">
      <pivotArea dataOnly="0" labelOnly="1" outline="0" fieldPosition="0">
        <references count="3">
          <reference field="2" count="1" selected="0">
            <x v="2"/>
          </reference>
          <reference field="3" count="3">
            <x v="4"/>
            <x v="11"/>
            <x v="12"/>
          </reference>
          <reference field="4" count="1" selected="0">
            <x v="2"/>
          </reference>
        </references>
      </pivotArea>
    </format>
    <format dxfId="380">
      <pivotArea dataOnly="0" labelOnly="1" outline="0" fieldPosition="0">
        <references count="3">
          <reference field="2" count="1" selected="0">
            <x v="4"/>
          </reference>
          <reference field="3" count="1">
            <x v="6"/>
          </reference>
          <reference field="4" count="1" selected="0">
            <x v="2"/>
          </reference>
        </references>
      </pivotArea>
    </format>
    <format dxfId="379">
      <pivotArea dataOnly="0" labelOnly="1" outline="0" fieldPosition="0">
        <references count="3">
          <reference field="2" count="1" selected="0">
            <x v="0"/>
          </reference>
          <reference field="3" count="2">
            <x v="8"/>
            <x v="13"/>
          </reference>
          <reference field="4" count="1" selected="0">
            <x v="3"/>
          </reference>
        </references>
      </pivotArea>
    </format>
    <format dxfId="378">
      <pivotArea dataOnly="0" labelOnly="1" outline="0" fieldPosition="0">
        <references count="3">
          <reference field="2" count="1" selected="0">
            <x v="2"/>
          </reference>
          <reference field="3" count="2">
            <x v="4"/>
            <x v="11"/>
          </reference>
          <reference field="4" count="1" selected="0">
            <x v="3"/>
          </reference>
        </references>
      </pivotArea>
    </format>
    <format dxfId="377">
      <pivotArea dataOnly="0" labelOnly="1" outline="0" fieldPosition="0">
        <references count="3">
          <reference field="2" count="1" selected="0">
            <x v="0"/>
          </reference>
          <reference field="3" count="1">
            <x v="13"/>
          </reference>
          <reference field="4" count="1" selected="0">
            <x v="4"/>
          </reference>
        </references>
      </pivotArea>
    </format>
    <format dxfId="376">
      <pivotArea dataOnly="0" labelOnly="1" outline="0" fieldPosition="0">
        <references count="3">
          <reference field="2" count="1" selected="0">
            <x v="1"/>
          </reference>
          <reference field="3" count="1">
            <x v="0"/>
          </reference>
          <reference field="4" count="1" selected="0">
            <x v="4"/>
          </reference>
        </references>
      </pivotArea>
    </format>
    <format dxfId="375">
      <pivotArea dataOnly="0" labelOnly="1" outline="0" fieldPosition="0">
        <references count="3">
          <reference field="2" count="1" selected="0">
            <x v="2"/>
          </reference>
          <reference field="3" count="1">
            <x v="12"/>
          </reference>
          <reference field="4" count="1" selected="0">
            <x v="4"/>
          </reference>
        </references>
      </pivotArea>
    </format>
    <format dxfId="374">
      <pivotArea dataOnly="0" labelOnly="1" outline="0" fieldPosition="0">
        <references count="3">
          <reference field="2" count="1" selected="0">
            <x v="0"/>
          </reference>
          <reference field="3" count="3">
            <x v="3"/>
            <x v="9"/>
            <x v="13"/>
          </reference>
          <reference field="4" count="1" selected="0">
            <x v="5"/>
          </reference>
        </references>
      </pivotArea>
    </format>
    <format dxfId="373">
      <pivotArea dataOnly="0" labelOnly="1" outline="0" fieldPosition="0">
        <references count="3">
          <reference field="2" count="1" selected="0">
            <x v="1"/>
          </reference>
          <reference field="3" count="2">
            <x v="0"/>
            <x v="10"/>
          </reference>
          <reference field="4" count="1" selected="0">
            <x v="5"/>
          </reference>
        </references>
      </pivotArea>
    </format>
    <format dxfId="372">
      <pivotArea dataOnly="0" labelOnly="1" outline="0" fieldPosition="0">
        <references count="3">
          <reference field="2" count="1" selected="0">
            <x v="2"/>
          </reference>
          <reference field="3" count="2">
            <x v="11"/>
            <x v="14"/>
          </reference>
          <reference field="4" count="1" selected="0">
            <x v="5"/>
          </reference>
        </references>
      </pivotArea>
    </format>
    <format dxfId="371">
      <pivotArea dataOnly="0" labelOnly="1" outline="0" fieldPosition="0">
        <references count="3">
          <reference field="2" count="1" selected="0">
            <x v="3"/>
          </reference>
          <reference field="3" count="1">
            <x v="5"/>
          </reference>
          <reference field="4" count="1" selected="0">
            <x v="5"/>
          </reference>
        </references>
      </pivotArea>
    </format>
    <format dxfId="370">
      <pivotArea dataOnly="0" labelOnly="1" outline="0" fieldPosition="0">
        <references count="3">
          <reference field="2" count="1" selected="0">
            <x v="4"/>
          </reference>
          <reference field="3" count="1">
            <x v="6"/>
          </reference>
          <reference field="4" count="1" selected="0">
            <x v="5"/>
          </reference>
        </references>
      </pivotArea>
    </format>
    <format dxfId="369">
      <pivotArea dataOnly="0" labelOnly="1" outline="0" fieldPosition="0">
        <references count="4">
          <reference field="1" count="2">
            <x v="10"/>
            <x v="26"/>
          </reference>
          <reference field="2" count="1" selected="0">
            <x v="4"/>
          </reference>
          <reference field="3" count="1" selected="0">
            <x v="6"/>
          </reference>
          <reference field="4" count="1" selected="0">
            <x v="0"/>
          </reference>
        </references>
      </pivotArea>
    </format>
    <format dxfId="368">
      <pivotArea dataOnly="0" labelOnly="1" outline="0" fieldPosition="0">
        <references count="4">
          <reference field="1" count="2">
            <x v="9"/>
            <x v="15"/>
          </reference>
          <reference field="2" count="1" selected="0">
            <x v="0"/>
          </reference>
          <reference field="3" count="1" selected="0">
            <x v="3"/>
          </reference>
          <reference field="4" count="1" selected="0">
            <x v="1"/>
          </reference>
        </references>
      </pivotArea>
    </format>
    <format dxfId="367">
      <pivotArea dataOnly="0" labelOnly="1" outline="0" fieldPosition="0">
        <references count="4">
          <reference field="1" count="1">
            <x v="33"/>
          </reference>
          <reference field="2" count="1" selected="0">
            <x v="0"/>
          </reference>
          <reference field="3" count="1" selected="0">
            <x v="9"/>
          </reference>
          <reference field="4" count="1" selected="0">
            <x v="1"/>
          </reference>
        </references>
      </pivotArea>
    </format>
    <format dxfId="366">
      <pivotArea dataOnly="0" labelOnly="1" outline="0" fieldPosition="0">
        <references count="4">
          <reference field="1" count="1">
            <x v="30"/>
          </reference>
          <reference field="2" count="1" selected="0">
            <x v="0"/>
          </reference>
          <reference field="3" count="1" selected="0">
            <x v="13"/>
          </reference>
          <reference field="4" count="1" selected="0">
            <x v="1"/>
          </reference>
        </references>
      </pivotArea>
    </format>
    <format dxfId="365">
      <pivotArea dataOnly="0" labelOnly="1" outline="0" fieldPosition="0">
        <references count="4">
          <reference field="1" count="2">
            <x v="6"/>
            <x v="19"/>
          </reference>
          <reference field="2" count="1" selected="0">
            <x v="1"/>
          </reference>
          <reference field="3" count="1" selected="0">
            <x v="1"/>
          </reference>
          <reference field="4" count="1" selected="0">
            <x v="1"/>
          </reference>
        </references>
      </pivotArea>
    </format>
    <format dxfId="364">
      <pivotArea dataOnly="0" labelOnly="1" outline="0" fieldPosition="0">
        <references count="4">
          <reference field="1" count="1">
            <x v="4"/>
          </reference>
          <reference field="2" count="1" selected="0">
            <x v="1"/>
          </reference>
          <reference field="3" count="1" selected="0">
            <x v="10"/>
          </reference>
          <reference field="4" count="1" selected="0">
            <x v="1"/>
          </reference>
        </references>
      </pivotArea>
    </format>
    <format dxfId="363">
      <pivotArea dataOnly="0" labelOnly="1" outline="0" fieldPosition="0">
        <references count="4">
          <reference field="1" count="1">
            <x v="37"/>
          </reference>
          <reference field="2" count="1" selected="0">
            <x v="2"/>
          </reference>
          <reference field="3" count="1" selected="0">
            <x v="2"/>
          </reference>
          <reference field="4" count="1" selected="0">
            <x v="1"/>
          </reference>
        </references>
      </pivotArea>
    </format>
    <format dxfId="362">
      <pivotArea dataOnly="0" labelOnly="1" outline="0" fieldPosition="0">
        <references count="4">
          <reference field="1" count="1">
            <x v="21"/>
          </reference>
          <reference field="2" count="1" selected="0">
            <x v="2"/>
          </reference>
          <reference field="3" count="1" selected="0">
            <x v="4"/>
          </reference>
          <reference field="4" count="1" selected="0">
            <x v="1"/>
          </reference>
        </references>
      </pivotArea>
    </format>
    <format dxfId="361">
      <pivotArea dataOnly="0" labelOnly="1" outline="0" fieldPosition="0">
        <references count="4">
          <reference field="1" count="7">
            <x v="3"/>
            <x v="14"/>
            <x v="16"/>
            <x v="23"/>
            <x v="28"/>
            <x v="32"/>
            <x v="39"/>
          </reference>
          <reference field="2" count="1" selected="0">
            <x v="2"/>
          </reference>
          <reference field="3" count="1" selected="0">
            <x v="11"/>
          </reference>
          <reference field="4" count="1" selected="0">
            <x v="1"/>
          </reference>
        </references>
      </pivotArea>
    </format>
    <format dxfId="360">
      <pivotArea dataOnly="0" labelOnly="1" outline="0" fieldPosition="0">
        <references count="4">
          <reference field="1" count="3">
            <x v="1"/>
            <x v="18"/>
            <x v="31"/>
          </reference>
          <reference field="2" count="1" selected="0">
            <x v="2"/>
          </reference>
          <reference field="3" count="1" selected="0">
            <x v="12"/>
          </reference>
          <reference field="4" count="1" selected="0">
            <x v="1"/>
          </reference>
        </references>
      </pivotArea>
    </format>
    <format dxfId="359">
      <pivotArea dataOnly="0" labelOnly="1" outline="0" fieldPosition="0">
        <references count="4">
          <reference field="1" count="4">
            <x v="0"/>
            <x v="12"/>
            <x v="29"/>
            <x v="35"/>
          </reference>
          <reference field="2" count="1" selected="0">
            <x v="2"/>
          </reference>
          <reference field="3" count="1" selected="0">
            <x v="14"/>
          </reference>
          <reference field="4" count="1" selected="0">
            <x v="1"/>
          </reference>
        </references>
      </pivotArea>
    </format>
    <format dxfId="358">
      <pivotArea dataOnly="0" labelOnly="1" outline="0" fieldPosition="0">
        <references count="4">
          <reference field="1" count="1">
            <x v="20"/>
          </reference>
          <reference field="2" count="1" selected="0">
            <x v="3"/>
          </reference>
          <reference field="3" count="1" selected="0">
            <x v="5"/>
          </reference>
          <reference field="4" count="1" selected="0">
            <x v="1"/>
          </reference>
        </references>
      </pivotArea>
    </format>
    <format dxfId="357">
      <pivotArea dataOnly="0" labelOnly="1" outline="0" fieldPosition="0">
        <references count="4">
          <reference field="1" count="1">
            <x v="26"/>
          </reference>
          <reference field="2" count="1" selected="0">
            <x v="4"/>
          </reference>
          <reference field="3" count="1" selected="0">
            <x v="6"/>
          </reference>
          <reference field="4" count="1" selected="0">
            <x v="1"/>
          </reference>
        </references>
      </pivotArea>
    </format>
    <format dxfId="356">
      <pivotArea dataOnly="0" labelOnly="1" outline="0" fieldPosition="0">
        <references count="4">
          <reference field="1" count="1">
            <x v="25"/>
          </reference>
          <reference field="2" count="1" selected="0">
            <x v="4"/>
          </reference>
          <reference field="3" count="1" selected="0">
            <x v="7"/>
          </reference>
          <reference field="4" count="1" selected="0">
            <x v="1"/>
          </reference>
        </references>
      </pivotArea>
    </format>
    <format dxfId="355">
      <pivotArea dataOnly="0" labelOnly="1" outline="0" fieldPosition="0">
        <references count="4">
          <reference field="1" count="1">
            <x v="15"/>
          </reference>
          <reference field="2" count="1" selected="0">
            <x v="0"/>
          </reference>
          <reference field="3" count="1" selected="0">
            <x v="3"/>
          </reference>
          <reference field="4" count="1" selected="0">
            <x v="2"/>
          </reference>
        </references>
      </pivotArea>
    </format>
    <format dxfId="354">
      <pivotArea dataOnly="0" labelOnly="1" outline="0" fieldPosition="0">
        <references count="4">
          <reference field="1" count="1">
            <x v="22"/>
          </reference>
          <reference field="2" count="1" selected="0">
            <x v="0"/>
          </reference>
          <reference field="3" count="1" selected="0">
            <x v="9"/>
          </reference>
          <reference field="4" count="1" selected="0">
            <x v="2"/>
          </reference>
        </references>
      </pivotArea>
    </format>
    <format dxfId="353">
      <pivotArea dataOnly="0" labelOnly="1" outline="0" fieldPosition="0">
        <references count="4">
          <reference field="1" count="1">
            <x v="13"/>
          </reference>
          <reference field="2" count="1" selected="0">
            <x v="0"/>
          </reference>
          <reference field="3" count="1" selected="0">
            <x v="13"/>
          </reference>
          <reference field="4" count="1" selected="0">
            <x v="2"/>
          </reference>
        </references>
      </pivotArea>
    </format>
    <format dxfId="352">
      <pivotArea dataOnly="0" labelOnly="1" outline="0" fieldPosition="0">
        <references count="4">
          <reference field="1" count="1">
            <x v="8"/>
          </reference>
          <reference field="2" count="1" selected="0">
            <x v="1"/>
          </reference>
          <reference field="3" count="1" selected="0">
            <x v="0"/>
          </reference>
          <reference field="4" count="1" selected="0">
            <x v="2"/>
          </reference>
        </references>
      </pivotArea>
    </format>
    <format dxfId="351">
      <pivotArea dataOnly="0" labelOnly="1" outline="0" fieldPosition="0">
        <references count="4">
          <reference field="1" count="2">
            <x v="5"/>
            <x v="27"/>
          </reference>
          <reference field="2" count="1" selected="0">
            <x v="1"/>
          </reference>
          <reference field="3" count="1" selected="0">
            <x v="10"/>
          </reference>
          <reference field="4" count="1" selected="0">
            <x v="2"/>
          </reference>
        </references>
      </pivotArea>
    </format>
    <format dxfId="350">
      <pivotArea dataOnly="0" labelOnly="1" outline="0" fieldPosition="0">
        <references count="4">
          <reference field="1" count="1">
            <x v="21"/>
          </reference>
          <reference field="2" count="1" selected="0">
            <x v="2"/>
          </reference>
          <reference field="3" count="1" selected="0">
            <x v="4"/>
          </reference>
          <reference field="4" count="1" selected="0">
            <x v="2"/>
          </reference>
        </references>
      </pivotArea>
    </format>
    <format dxfId="349">
      <pivotArea dataOnly="0" labelOnly="1" outline="0" fieldPosition="0">
        <references count="4">
          <reference field="1" count="4">
            <x v="3"/>
            <x v="14"/>
            <x v="32"/>
            <x v="39"/>
          </reference>
          <reference field="2" count="1" selected="0">
            <x v="2"/>
          </reference>
          <reference field="3" count="1" selected="0">
            <x v="11"/>
          </reference>
          <reference field="4" count="1" selected="0">
            <x v="2"/>
          </reference>
        </references>
      </pivotArea>
    </format>
    <format dxfId="348">
      <pivotArea dataOnly="0" labelOnly="1" outline="0" fieldPosition="0">
        <references count="4">
          <reference field="1" count="1">
            <x v="2"/>
          </reference>
          <reference field="2" count="1" selected="0">
            <x v="2"/>
          </reference>
          <reference field="3" count="1" selected="0">
            <x v="12"/>
          </reference>
          <reference field="4" count="1" selected="0">
            <x v="2"/>
          </reference>
        </references>
      </pivotArea>
    </format>
    <format dxfId="347">
      <pivotArea dataOnly="0" labelOnly="1" outline="0" fieldPosition="0">
        <references count="4">
          <reference field="1" count="1">
            <x v="26"/>
          </reference>
          <reference field="2" count="1" selected="0">
            <x v="4"/>
          </reference>
          <reference field="3" count="1" selected="0">
            <x v="6"/>
          </reference>
          <reference field="4" count="1" selected="0">
            <x v="2"/>
          </reference>
        </references>
      </pivotArea>
    </format>
    <format dxfId="346">
      <pivotArea dataOnly="0" labelOnly="1" outline="0" fieldPosition="0">
        <references count="4">
          <reference field="1" count="1">
            <x v="11"/>
          </reference>
          <reference field="2" count="1" selected="0">
            <x v="0"/>
          </reference>
          <reference field="3" count="1" selected="0">
            <x v="8"/>
          </reference>
          <reference field="4" count="1" selected="0">
            <x v="3"/>
          </reference>
        </references>
      </pivotArea>
    </format>
    <format dxfId="345">
      <pivotArea dataOnly="0" labelOnly="1" outline="0" fieldPosition="0">
        <references count="4">
          <reference field="1" count="1">
            <x v="13"/>
          </reference>
          <reference field="2" count="1" selected="0">
            <x v="0"/>
          </reference>
          <reference field="3" count="1" selected="0">
            <x v="13"/>
          </reference>
          <reference field="4" count="1" selected="0">
            <x v="3"/>
          </reference>
        </references>
      </pivotArea>
    </format>
    <format dxfId="344">
      <pivotArea dataOnly="0" labelOnly="1" outline="0" fieldPosition="0">
        <references count="4">
          <reference field="1" count="1">
            <x v="21"/>
          </reference>
          <reference field="2" count="1" selected="0">
            <x v="2"/>
          </reference>
          <reference field="3" count="1" selected="0">
            <x v="4"/>
          </reference>
          <reference field="4" count="1" selected="0">
            <x v="3"/>
          </reference>
        </references>
      </pivotArea>
    </format>
    <format dxfId="343">
      <pivotArea dataOnly="0" labelOnly="1" outline="0" fieldPosition="0">
        <references count="4">
          <reference field="1" count="2">
            <x v="16"/>
            <x v="39"/>
          </reference>
          <reference field="2" count="1" selected="0">
            <x v="2"/>
          </reference>
          <reference field="3" count="1" selected="0">
            <x v="11"/>
          </reference>
          <reference field="4" count="1" selected="0">
            <x v="3"/>
          </reference>
        </references>
      </pivotArea>
    </format>
    <format dxfId="342">
      <pivotArea dataOnly="0" labelOnly="1" outline="0" fieldPosition="0">
        <references count="4">
          <reference field="1" count="1">
            <x v="13"/>
          </reference>
          <reference field="2" count="1" selected="0">
            <x v="0"/>
          </reference>
          <reference field="3" count="1" selected="0">
            <x v="13"/>
          </reference>
          <reference field="4" count="1" selected="0">
            <x v="4"/>
          </reference>
        </references>
      </pivotArea>
    </format>
    <format dxfId="341">
      <pivotArea dataOnly="0" labelOnly="1" outline="0" fieldPosition="0">
        <references count="4">
          <reference field="1" count="1">
            <x v="8"/>
          </reference>
          <reference field="2" count="1" selected="0">
            <x v="1"/>
          </reference>
          <reference field="3" count="1" selected="0">
            <x v="0"/>
          </reference>
          <reference field="4" count="1" selected="0">
            <x v="4"/>
          </reference>
        </references>
      </pivotArea>
    </format>
    <format dxfId="340">
      <pivotArea dataOnly="0" labelOnly="1" outline="0" fieldPosition="0">
        <references count="4">
          <reference field="1" count="1">
            <x v="24"/>
          </reference>
          <reference field="2" count="1" selected="0">
            <x v="2"/>
          </reference>
          <reference field="3" count="1" selected="0">
            <x v="12"/>
          </reference>
          <reference field="4" count="1" selected="0">
            <x v="4"/>
          </reference>
        </references>
      </pivotArea>
    </format>
    <format dxfId="339">
      <pivotArea dataOnly="0" labelOnly="1" outline="0" fieldPosition="0">
        <references count="4">
          <reference field="1" count="1">
            <x v="17"/>
          </reference>
          <reference field="2" count="1" selected="0">
            <x v="0"/>
          </reference>
          <reference field="3" count="1" selected="0">
            <x v="3"/>
          </reference>
          <reference field="4" count="1" selected="0">
            <x v="5"/>
          </reference>
        </references>
      </pivotArea>
    </format>
    <format dxfId="338">
      <pivotArea dataOnly="0" labelOnly="1" outline="0" fieldPosition="0">
        <references count="4">
          <reference field="1" count="1">
            <x v="22"/>
          </reference>
          <reference field="2" count="1" selected="0">
            <x v="0"/>
          </reference>
          <reference field="3" count="1" selected="0">
            <x v="9"/>
          </reference>
          <reference field="4" count="1" selected="0">
            <x v="5"/>
          </reference>
        </references>
      </pivotArea>
    </format>
    <format dxfId="337">
      <pivotArea dataOnly="0" labelOnly="1" outline="0" fieldPosition="0">
        <references count="4">
          <reference field="1" count="2">
            <x v="13"/>
            <x v="30"/>
          </reference>
          <reference field="2" count="1" selected="0">
            <x v="0"/>
          </reference>
          <reference field="3" count="1" selected="0">
            <x v="13"/>
          </reference>
          <reference field="4" count="1" selected="0">
            <x v="5"/>
          </reference>
        </references>
      </pivotArea>
    </format>
    <format dxfId="336">
      <pivotArea dataOnly="0" labelOnly="1" outline="0" fieldPosition="0">
        <references count="4">
          <reference field="1" count="1">
            <x v="7"/>
          </reference>
          <reference field="2" count="1" selected="0">
            <x v="1"/>
          </reference>
          <reference field="3" count="1" selected="0">
            <x v="0"/>
          </reference>
          <reference field="4" count="1" selected="0">
            <x v="5"/>
          </reference>
        </references>
      </pivotArea>
    </format>
    <format dxfId="335">
      <pivotArea dataOnly="0" labelOnly="1" outline="0" fieldPosition="0">
        <references count="4">
          <reference field="1" count="3">
            <x v="4"/>
            <x v="27"/>
            <x v="36"/>
          </reference>
          <reference field="2" count="1" selected="0">
            <x v="1"/>
          </reference>
          <reference field="3" count="1" selected="0">
            <x v="10"/>
          </reference>
          <reference field="4" count="1" selected="0">
            <x v="5"/>
          </reference>
        </references>
      </pivotArea>
    </format>
    <format dxfId="334">
      <pivotArea dataOnly="0" labelOnly="1" outline="0" fieldPosition="0">
        <references count="4">
          <reference field="1" count="1">
            <x v="32"/>
          </reference>
          <reference field="2" count="1" selected="0">
            <x v="2"/>
          </reference>
          <reference field="3" count="1" selected="0">
            <x v="11"/>
          </reference>
          <reference field="4" count="1" selected="0">
            <x v="5"/>
          </reference>
        </references>
      </pivotArea>
    </format>
    <format dxfId="333">
      <pivotArea dataOnly="0" labelOnly="1" outline="0" fieldPosition="0">
        <references count="4">
          <reference field="1" count="1">
            <x v="12"/>
          </reference>
          <reference field="2" count="1" selected="0">
            <x v="2"/>
          </reference>
          <reference field="3" count="1" selected="0">
            <x v="14"/>
          </reference>
          <reference field="4" count="1" selected="0">
            <x v="5"/>
          </reference>
        </references>
      </pivotArea>
    </format>
    <format dxfId="332">
      <pivotArea dataOnly="0" labelOnly="1" outline="0" fieldPosition="0">
        <references count="4">
          <reference field="1" count="1">
            <x v="34"/>
          </reference>
          <reference field="2" count="1" selected="0">
            <x v="3"/>
          </reference>
          <reference field="3" count="1" selected="0">
            <x v="5"/>
          </reference>
          <reference field="4" count="1" selected="0">
            <x v="5"/>
          </reference>
        </references>
      </pivotArea>
    </format>
    <format dxfId="331">
      <pivotArea dataOnly="0" labelOnly="1" outline="0" fieldPosition="0">
        <references count="4">
          <reference field="1" count="1">
            <x v="38"/>
          </reference>
          <reference field="2" count="1" selected="0">
            <x v="4"/>
          </reference>
          <reference field="3" count="1" selected="0">
            <x v="6"/>
          </reference>
          <reference field="4" count="1" selected="0">
            <x v="5"/>
          </reference>
        </references>
      </pivotArea>
    </format>
    <format dxfId="330">
      <pivotArea dataOnly="0" labelOnly="1" outline="0" fieldPosition="0">
        <references count="1">
          <reference field="4" count="0"/>
        </references>
      </pivotArea>
    </format>
    <format dxfId="329">
      <pivotArea dataOnly="0" labelOnly="1" outline="0" fieldPosition="0">
        <references count="2">
          <reference field="2" count="1">
            <x v="4"/>
          </reference>
          <reference field="4" count="1" selected="0">
            <x v="0"/>
          </reference>
        </references>
      </pivotArea>
    </format>
    <format dxfId="328">
      <pivotArea dataOnly="0" labelOnly="1" outline="0" fieldPosition="0">
        <references count="3">
          <reference field="2" count="1" selected="0">
            <x v="4"/>
          </reference>
          <reference field="3" count="1">
            <x v="6"/>
          </reference>
          <reference field="4" count="1" selected="0">
            <x v="0"/>
          </reference>
        </references>
      </pivotArea>
    </format>
    <format dxfId="327">
      <pivotArea dataOnly="0" labelOnly="1" outline="0" fieldPosition="0">
        <references count="4">
          <reference field="1" count="2">
            <x v="10"/>
            <x v="26"/>
          </reference>
          <reference field="2" count="1" selected="0">
            <x v="4"/>
          </reference>
          <reference field="3" count="1" selected="0">
            <x v="6"/>
          </reference>
          <reference field="4" count="1" selected="0">
            <x v="0"/>
          </reference>
        </references>
      </pivotArea>
    </format>
    <format dxfId="326">
      <pivotArea dataOnly="0" labelOnly="1" outline="0" fieldPosition="0">
        <references count="2">
          <reference field="2" count="0"/>
          <reference field="4" count="1" selected="0">
            <x v="1"/>
          </reference>
        </references>
      </pivotArea>
    </format>
    <format dxfId="325">
      <pivotArea dataOnly="0" labelOnly="1" outline="0" fieldPosition="0">
        <references count="3">
          <reference field="2" count="1" selected="0">
            <x v="0"/>
          </reference>
          <reference field="3" count="3">
            <x v="3"/>
            <x v="9"/>
            <x v="13"/>
          </reference>
          <reference field="4" count="1" selected="0">
            <x v="1"/>
          </reference>
        </references>
      </pivotArea>
    </format>
    <format dxfId="324">
      <pivotArea dataOnly="0" labelOnly="1" outline="0" fieldPosition="0">
        <references count="3">
          <reference field="2" count="1" selected="0">
            <x v="1"/>
          </reference>
          <reference field="3" count="2">
            <x v="1"/>
            <x v="10"/>
          </reference>
          <reference field="4" count="1" selected="0">
            <x v="1"/>
          </reference>
        </references>
      </pivotArea>
    </format>
    <format dxfId="323">
      <pivotArea dataOnly="0" labelOnly="1" outline="0" fieldPosition="0">
        <references count="3">
          <reference field="2" count="1" selected="0">
            <x v="2"/>
          </reference>
          <reference field="3" count="5">
            <x v="2"/>
            <x v="4"/>
            <x v="11"/>
            <x v="12"/>
            <x v="14"/>
          </reference>
          <reference field="4" count="1" selected="0">
            <x v="1"/>
          </reference>
        </references>
      </pivotArea>
    </format>
    <format dxfId="322">
      <pivotArea dataOnly="0" labelOnly="1" outline="0" fieldPosition="0">
        <references count="3">
          <reference field="2" count="1" selected="0">
            <x v="3"/>
          </reference>
          <reference field="3" count="1">
            <x v="5"/>
          </reference>
          <reference field="4" count="1" selected="0">
            <x v="1"/>
          </reference>
        </references>
      </pivotArea>
    </format>
    <format dxfId="321">
      <pivotArea dataOnly="0" labelOnly="1" outline="0" fieldPosition="0">
        <references count="3">
          <reference field="2" count="1" selected="0">
            <x v="4"/>
          </reference>
          <reference field="3" count="2">
            <x v="6"/>
            <x v="7"/>
          </reference>
          <reference field="4" count="1" selected="0">
            <x v="1"/>
          </reference>
        </references>
      </pivotArea>
    </format>
    <format dxfId="320">
      <pivotArea dataOnly="0" labelOnly="1" outline="0" fieldPosition="0">
        <references count="4">
          <reference field="1" count="2">
            <x v="9"/>
            <x v="15"/>
          </reference>
          <reference field="2" count="1" selected="0">
            <x v="0"/>
          </reference>
          <reference field="3" count="1" selected="0">
            <x v="3"/>
          </reference>
          <reference field="4" count="1" selected="0">
            <x v="1"/>
          </reference>
        </references>
      </pivotArea>
    </format>
    <format dxfId="319">
      <pivotArea dataOnly="0" labelOnly="1" outline="0" fieldPosition="0">
        <references count="4">
          <reference field="1" count="1">
            <x v="33"/>
          </reference>
          <reference field="2" count="1" selected="0">
            <x v="0"/>
          </reference>
          <reference field="3" count="1" selected="0">
            <x v="9"/>
          </reference>
          <reference field="4" count="1" selected="0">
            <x v="1"/>
          </reference>
        </references>
      </pivotArea>
    </format>
    <format dxfId="318">
      <pivotArea dataOnly="0" labelOnly="1" outline="0" fieldPosition="0">
        <references count="4">
          <reference field="1" count="1">
            <x v="30"/>
          </reference>
          <reference field="2" count="1" selected="0">
            <x v="0"/>
          </reference>
          <reference field="3" count="1" selected="0">
            <x v="13"/>
          </reference>
          <reference field="4" count="1" selected="0">
            <x v="1"/>
          </reference>
        </references>
      </pivotArea>
    </format>
    <format dxfId="317">
      <pivotArea dataOnly="0" labelOnly="1" outline="0" fieldPosition="0">
        <references count="4">
          <reference field="1" count="2">
            <x v="6"/>
            <x v="19"/>
          </reference>
          <reference field="2" count="1" selected="0">
            <x v="1"/>
          </reference>
          <reference field="3" count="1" selected="0">
            <x v="1"/>
          </reference>
          <reference field="4" count="1" selected="0">
            <x v="1"/>
          </reference>
        </references>
      </pivotArea>
    </format>
    <format dxfId="316">
      <pivotArea dataOnly="0" labelOnly="1" outline="0" fieldPosition="0">
        <references count="4">
          <reference field="1" count="1">
            <x v="4"/>
          </reference>
          <reference field="2" count="1" selected="0">
            <x v="1"/>
          </reference>
          <reference field="3" count="1" selected="0">
            <x v="10"/>
          </reference>
          <reference field="4" count="1" selected="0">
            <x v="1"/>
          </reference>
        </references>
      </pivotArea>
    </format>
    <format dxfId="315">
      <pivotArea dataOnly="0" labelOnly="1" outline="0" fieldPosition="0">
        <references count="4">
          <reference field="1" count="1">
            <x v="37"/>
          </reference>
          <reference field="2" count="1" selected="0">
            <x v="2"/>
          </reference>
          <reference field="3" count="1" selected="0">
            <x v="2"/>
          </reference>
          <reference field="4" count="1" selected="0">
            <x v="1"/>
          </reference>
        </references>
      </pivotArea>
    </format>
    <format dxfId="314">
      <pivotArea dataOnly="0" labelOnly="1" outline="0" fieldPosition="0">
        <references count="4">
          <reference field="1" count="1">
            <x v="21"/>
          </reference>
          <reference field="2" count="1" selected="0">
            <x v="2"/>
          </reference>
          <reference field="3" count="1" selected="0">
            <x v="4"/>
          </reference>
          <reference field="4" count="1" selected="0">
            <x v="1"/>
          </reference>
        </references>
      </pivotArea>
    </format>
    <format dxfId="313">
      <pivotArea dataOnly="0" labelOnly="1" outline="0" fieldPosition="0">
        <references count="4">
          <reference field="1" count="7">
            <x v="3"/>
            <x v="14"/>
            <x v="16"/>
            <x v="23"/>
            <x v="28"/>
            <x v="32"/>
            <x v="39"/>
          </reference>
          <reference field="2" count="1" selected="0">
            <x v="2"/>
          </reference>
          <reference field="3" count="1" selected="0">
            <x v="11"/>
          </reference>
          <reference field="4" count="1" selected="0">
            <x v="1"/>
          </reference>
        </references>
      </pivotArea>
    </format>
    <format dxfId="312">
      <pivotArea dataOnly="0" labelOnly="1" outline="0" fieldPosition="0">
        <references count="4">
          <reference field="1" count="3">
            <x v="1"/>
            <x v="18"/>
            <x v="31"/>
          </reference>
          <reference field="2" count="1" selected="0">
            <x v="2"/>
          </reference>
          <reference field="3" count="1" selected="0">
            <x v="12"/>
          </reference>
          <reference field="4" count="1" selected="0">
            <x v="1"/>
          </reference>
        </references>
      </pivotArea>
    </format>
    <format dxfId="311">
      <pivotArea dataOnly="0" labelOnly="1" outline="0" fieldPosition="0">
        <references count="4">
          <reference field="1" count="4">
            <x v="0"/>
            <x v="12"/>
            <x v="29"/>
            <x v="35"/>
          </reference>
          <reference field="2" count="1" selected="0">
            <x v="2"/>
          </reference>
          <reference field="3" count="1" selected="0">
            <x v="14"/>
          </reference>
          <reference field="4" count="1" selected="0">
            <x v="1"/>
          </reference>
        </references>
      </pivotArea>
    </format>
    <format dxfId="310">
      <pivotArea dataOnly="0" labelOnly="1" outline="0" fieldPosition="0">
        <references count="4">
          <reference field="1" count="1">
            <x v="20"/>
          </reference>
          <reference field="2" count="1" selected="0">
            <x v="3"/>
          </reference>
          <reference field="3" count="1" selected="0">
            <x v="5"/>
          </reference>
          <reference field="4" count="1" selected="0">
            <x v="1"/>
          </reference>
        </references>
      </pivotArea>
    </format>
    <format dxfId="309">
      <pivotArea dataOnly="0" labelOnly="1" outline="0" fieldPosition="0">
        <references count="4">
          <reference field="1" count="1">
            <x v="26"/>
          </reference>
          <reference field="2" count="1" selected="0">
            <x v="4"/>
          </reference>
          <reference field="3" count="1" selected="0">
            <x v="6"/>
          </reference>
          <reference field="4" count="1" selected="0">
            <x v="1"/>
          </reference>
        </references>
      </pivotArea>
    </format>
    <format dxfId="308">
      <pivotArea dataOnly="0" labelOnly="1" outline="0" fieldPosition="0">
        <references count="4">
          <reference field="1" count="1">
            <x v="25"/>
          </reference>
          <reference field="2" count="1" selected="0">
            <x v="4"/>
          </reference>
          <reference field="3" count="1" selected="0">
            <x v="7"/>
          </reference>
          <reference field="4" count="1" selected="0">
            <x v="1"/>
          </reference>
        </references>
      </pivotArea>
    </format>
    <format dxfId="307">
      <pivotArea dataOnly="0" labelOnly="1" outline="0" fieldPosition="0">
        <references count="1">
          <reference field="4" count="1">
            <x v="2"/>
          </reference>
        </references>
      </pivotArea>
    </format>
    <format dxfId="306">
      <pivotArea dataOnly="0" labelOnly="1" outline="0" fieldPosition="0">
        <references count="2">
          <reference field="2" count="4">
            <x v="0"/>
            <x v="1"/>
            <x v="2"/>
            <x v="4"/>
          </reference>
          <reference field="4" count="1" selected="0">
            <x v="2"/>
          </reference>
        </references>
      </pivotArea>
    </format>
    <format dxfId="305">
      <pivotArea dataOnly="0" labelOnly="1" outline="0" fieldPosition="0">
        <references count="3">
          <reference field="2" count="1" selected="0">
            <x v="0"/>
          </reference>
          <reference field="3" count="3">
            <x v="3"/>
            <x v="9"/>
            <x v="13"/>
          </reference>
          <reference field="4" count="1" selected="0">
            <x v="2"/>
          </reference>
        </references>
      </pivotArea>
    </format>
    <format dxfId="304">
      <pivotArea dataOnly="0" labelOnly="1" outline="0" fieldPosition="0">
        <references count="3">
          <reference field="2" count="1" selected="0">
            <x v="1"/>
          </reference>
          <reference field="3" count="2">
            <x v="0"/>
            <x v="10"/>
          </reference>
          <reference field="4" count="1" selected="0">
            <x v="2"/>
          </reference>
        </references>
      </pivotArea>
    </format>
    <format dxfId="303">
      <pivotArea dataOnly="0" labelOnly="1" outline="0" fieldPosition="0">
        <references count="3">
          <reference field="2" count="1" selected="0">
            <x v="2"/>
          </reference>
          <reference field="3" count="3">
            <x v="4"/>
            <x v="11"/>
            <x v="12"/>
          </reference>
          <reference field="4" count="1" selected="0">
            <x v="2"/>
          </reference>
        </references>
      </pivotArea>
    </format>
    <format dxfId="302">
      <pivotArea dataOnly="0" labelOnly="1" outline="0" fieldPosition="0">
        <references count="3">
          <reference field="2" count="1" selected="0">
            <x v="4"/>
          </reference>
          <reference field="3" count="1">
            <x v="6"/>
          </reference>
          <reference field="4" count="1" selected="0">
            <x v="2"/>
          </reference>
        </references>
      </pivotArea>
    </format>
    <format dxfId="301">
      <pivotArea dataOnly="0" labelOnly="1" outline="0" fieldPosition="0">
        <references count="4">
          <reference field="1" count="1">
            <x v="15"/>
          </reference>
          <reference field="2" count="1" selected="0">
            <x v="0"/>
          </reference>
          <reference field="3" count="1" selected="0">
            <x v="3"/>
          </reference>
          <reference field="4" count="1" selected="0">
            <x v="2"/>
          </reference>
        </references>
      </pivotArea>
    </format>
    <format dxfId="300">
      <pivotArea dataOnly="0" labelOnly="1" outline="0" fieldPosition="0">
        <references count="4">
          <reference field="1" count="1">
            <x v="22"/>
          </reference>
          <reference field="2" count="1" selected="0">
            <x v="0"/>
          </reference>
          <reference field="3" count="1" selected="0">
            <x v="9"/>
          </reference>
          <reference field="4" count="1" selected="0">
            <x v="2"/>
          </reference>
        </references>
      </pivotArea>
    </format>
    <format dxfId="299">
      <pivotArea dataOnly="0" labelOnly="1" outline="0" fieldPosition="0">
        <references count="4">
          <reference field="1" count="1">
            <x v="13"/>
          </reference>
          <reference field="2" count="1" selected="0">
            <x v="0"/>
          </reference>
          <reference field="3" count="1" selected="0">
            <x v="13"/>
          </reference>
          <reference field="4" count="1" selected="0">
            <x v="2"/>
          </reference>
        </references>
      </pivotArea>
    </format>
    <format dxfId="298">
      <pivotArea dataOnly="0" labelOnly="1" outline="0" fieldPosition="0">
        <references count="4">
          <reference field="1" count="1">
            <x v="8"/>
          </reference>
          <reference field="2" count="1" selected="0">
            <x v="1"/>
          </reference>
          <reference field="3" count="1" selected="0">
            <x v="0"/>
          </reference>
          <reference field="4" count="1" selected="0">
            <x v="2"/>
          </reference>
        </references>
      </pivotArea>
    </format>
    <format dxfId="297">
      <pivotArea dataOnly="0" labelOnly="1" outline="0" fieldPosition="0">
        <references count="4">
          <reference field="1" count="2">
            <x v="5"/>
            <x v="27"/>
          </reference>
          <reference field="2" count="1" selected="0">
            <x v="1"/>
          </reference>
          <reference field="3" count="1" selected="0">
            <x v="10"/>
          </reference>
          <reference field="4" count="1" selected="0">
            <x v="2"/>
          </reference>
        </references>
      </pivotArea>
    </format>
    <format dxfId="296">
      <pivotArea dataOnly="0" labelOnly="1" outline="0" fieldPosition="0">
        <references count="4">
          <reference field="1" count="1">
            <x v="21"/>
          </reference>
          <reference field="2" count="1" selected="0">
            <x v="2"/>
          </reference>
          <reference field="3" count="1" selected="0">
            <x v="4"/>
          </reference>
          <reference field="4" count="1" selected="0">
            <x v="2"/>
          </reference>
        </references>
      </pivotArea>
    </format>
    <format dxfId="295">
      <pivotArea dataOnly="0" labelOnly="1" outline="0" fieldPosition="0">
        <references count="4">
          <reference field="1" count="4">
            <x v="3"/>
            <x v="14"/>
            <x v="32"/>
            <x v="39"/>
          </reference>
          <reference field="2" count="1" selected="0">
            <x v="2"/>
          </reference>
          <reference field="3" count="1" selected="0">
            <x v="11"/>
          </reference>
          <reference field="4" count="1" selected="0">
            <x v="2"/>
          </reference>
        </references>
      </pivotArea>
    </format>
    <format dxfId="294">
      <pivotArea dataOnly="0" labelOnly="1" outline="0" fieldPosition="0">
        <references count="4">
          <reference field="1" count="1">
            <x v="2"/>
          </reference>
          <reference field="2" count="1" selected="0">
            <x v="2"/>
          </reference>
          <reference field="3" count="1" selected="0">
            <x v="12"/>
          </reference>
          <reference field="4" count="1" selected="0">
            <x v="2"/>
          </reference>
        </references>
      </pivotArea>
    </format>
    <format dxfId="293">
      <pivotArea dataOnly="0" labelOnly="1" outline="0" fieldPosition="0">
        <references count="4">
          <reference field="1" count="1">
            <x v="26"/>
          </reference>
          <reference field="2" count="1" selected="0">
            <x v="4"/>
          </reference>
          <reference field="3" count="1" selected="0">
            <x v="6"/>
          </reference>
          <reference field="4" count="1" selected="0">
            <x v="2"/>
          </reference>
        </references>
      </pivotArea>
    </format>
    <format dxfId="292">
      <pivotArea dataOnly="0" labelOnly="1" outline="0" fieldPosition="0">
        <references count="2">
          <reference field="2" count="2">
            <x v="0"/>
            <x v="2"/>
          </reference>
          <reference field="4" count="1" selected="0">
            <x v="3"/>
          </reference>
        </references>
      </pivotArea>
    </format>
    <format dxfId="291">
      <pivotArea dataOnly="0" labelOnly="1" outline="0" fieldPosition="0">
        <references count="3">
          <reference field="2" count="1" selected="0">
            <x v="0"/>
          </reference>
          <reference field="3" count="2">
            <x v="8"/>
            <x v="13"/>
          </reference>
          <reference field="4" count="1" selected="0">
            <x v="3"/>
          </reference>
        </references>
      </pivotArea>
    </format>
    <format dxfId="290">
      <pivotArea dataOnly="0" labelOnly="1" outline="0" fieldPosition="0">
        <references count="3">
          <reference field="2" count="1" selected="0">
            <x v="2"/>
          </reference>
          <reference field="3" count="2">
            <x v="4"/>
            <x v="11"/>
          </reference>
          <reference field="4" count="1" selected="0">
            <x v="3"/>
          </reference>
        </references>
      </pivotArea>
    </format>
    <format dxfId="289">
      <pivotArea dataOnly="0" labelOnly="1" outline="0" fieldPosition="0">
        <references count="4">
          <reference field="1" count="1">
            <x v="11"/>
          </reference>
          <reference field="2" count="1" selected="0">
            <x v="0"/>
          </reference>
          <reference field="3" count="1" selected="0">
            <x v="8"/>
          </reference>
          <reference field="4" count="1" selected="0">
            <x v="3"/>
          </reference>
        </references>
      </pivotArea>
    </format>
    <format dxfId="288">
      <pivotArea dataOnly="0" labelOnly="1" outline="0" fieldPosition="0">
        <references count="4">
          <reference field="1" count="1">
            <x v="13"/>
          </reference>
          <reference field="2" count="1" selected="0">
            <x v="0"/>
          </reference>
          <reference field="3" count="1" selected="0">
            <x v="13"/>
          </reference>
          <reference field="4" count="1" selected="0">
            <x v="3"/>
          </reference>
        </references>
      </pivotArea>
    </format>
    <format dxfId="287">
      <pivotArea dataOnly="0" labelOnly="1" outline="0" fieldPosition="0">
        <references count="4">
          <reference field="1" count="1">
            <x v="21"/>
          </reference>
          <reference field="2" count="1" selected="0">
            <x v="2"/>
          </reference>
          <reference field="3" count="1" selected="0">
            <x v="4"/>
          </reference>
          <reference field="4" count="1" selected="0">
            <x v="3"/>
          </reference>
        </references>
      </pivotArea>
    </format>
    <format dxfId="286">
      <pivotArea dataOnly="0" labelOnly="1" outline="0" fieldPosition="0">
        <references count="4">
          <reference field="1" count="2">
            <x v="16"/>
            <x v="39"/>
          </reference>
          <reference field="2" count="1" selected="0">
            <x v="2"/>
          </reference>
          <reference field="3" count="1" selected="0">
            <x v="11"/>
          </reference>
          <reference field="4" count="1" selected="0">
            <x v="3"/>
          </reference>
        </references>
      </pivotArea>
    </format>
    <format dxfId="285">
      <pivotArea dataOnly="0" labelOnly="1" outline="0" fieldPosition="0">
        <references count="1">
          <reference field="4" count="1">
            <x v="4"/>
          </reference>
        </references>
      </pivotArea>
    </format>
    <format dxfId="284">
      <pivotArea dataOnly="0" labelOnly="1" outline="0" fieldPosition="0">
        <references count="2">
          <reference field="2" count="3">
            <x v="0"/>
            <x v="1"/>
            <x v="2"/>
          </reference>
          <reference field="4" count="1" selected="0">
            <x v="4"/>
          </reference>
        </references>
      </pivotArea>
    </format>
    <format dxfId="283">
      <pivotArea dataOnly="0" labelOnly="1" outline="0" fieldPosition="0">
        <references count="3">
          <reference field="2" count="1" selected="0">
            <x v="0"/>
          </reference>
          <reference field="3" count="1">
            <x v="13"/>
          </reference>
          <reference field="4" count="1" selected="0">
            <x v="4"/>
          </reference>
        </references>
      </pivotArea>
    </format>
    <format dxfId="282">
      <pivotArea dataOnly="0" labelOnly="1" outline="0" fieldPosition="0">
        <references count="3">
          <reference field="2" count="1" selected="0">
            <x v="1"/>
          </reference>
          <reference field="3" count="1">
            <x v="0"/>
          </reference>
          <reference field="4" count="1" selected="0">
            <x v="4"/>
          </reference>
        </references>
      </pivotArea>
    </format>
    <format dxfId="281">
      <pivotArea dataOnly="0" labelOnly="1" outline="0" fieldPosition="0">
        <references count="3">
          <reference field="2" count="1" selected="0">
            <x v="2"/>
          </reference>
          <reference field="3" count="1">
            <x v="12"/>
          </reference>
          <reference field="4" count="1" selected="0">
            <x v="4"/>
          </reference>
        </references>
      </pivotArea>
    </format>
    <format dxfId="280">
      <pivotArea dataOnly="0" labelOnly="1" outline="0" fieldPosition="0">
        <references count="4">
          <reference field="1" count="1">
            <x v="13"/>
          </reference>
          <reference field="2" count="1" selected="0">
            <x v="0"/>
          </reference>
          <reference field="3" count="1" selected="0">
            <x v="13"/>
          </reference>
          <reference field="4" count="1" selected="0">
            <x v="4"/>
          </reference>
        </references>
      </pivotArea>
    </format>
    <format dxfId="279">
      <pivotArea dataOnly="0" labelOnly="1" outline="0" fieldPosition="0">
        <references count="4">
          <reference field="1" count="1">
            <x v="8"/>
          </reference>
          <reference field="2" count="1" selected="0">
            <x v="1"/>
          </reference>
          <reference field="3" count="1" selected="0">
            <x v="0"/>
          </reference>
          <reference field="4" count="1" selected="0">
            <x v="4"/>
          </reference>
        </references>
      </pivotArea>
    </format>
    <format dxfId="278">
      <pivotArea dataOnly="0" labelOnly="1" outline="0" fieldPosition="0">
        <references count="4">
          <reference field="1" count="1">
            <x v="24"/>
          </reference>
          <reference field="2" count="1" selected="0">
            <x v="2"/>
          </reference>
          <reference field="3" count="1" selected="0">
            <x v="12"/>
          </reference>
          <reference field="4" count="1" selected="0">
            <x v="4"/>
          </reference>
        </references>
      </pivotArea>
    </format>
    <format dxfId="277">
      <pivotArea field="4" type="button" dataOnly="0" labelOnly="1" outline="0" axis="axisRow" fieldPosition="0"/>
    </format>
    <format dxfId="276">
      <pivotArea dataOnly="0" labelOnly="1" outline="0" fieldPosition="0">
        <references count="1">
          <reference field="4" count="0"/>
        </references>
      </pivotArea>
    </format>
    <format dxfId="275">
      <pivotArea type="all" dataOnly="0" outline="0" fieldPosition="0"/>
    </format>
    <format dxfId="274">
      <pivotArea field="4" type="button" dataOnly="0" labelOnly="1" outline="0" axis="axisRow" fieldPosition="0"/>
    </format>
    <format dxfId="273">
      <pivotArea field="2" type="button" dataOnly="0" labelOnly="1" outline="0" axis="axisRow" fieldPosition="1"/>
    </format>
    <format dxfId="272">
      <pivotArea field="3" type="button" dataOnly="0" labelOnly="1" outline="0" axis="axisRow" fieldPosition="2"/>
    </format>
    <format dxfId="271">
      <pivotArea field="1" type="button" dataOnly="0" labelOnly="1" outline="0" axis="axisRow" fieldPosition="3"/>
    </format>
    <format dxfId="270">
      <pivotArea dataOnly="0" labelOnly="1" outline="0" fieldPosition="0">
        <references count="1">
          <reference field="4" count="0"/>
        </references>
      </pivotArea>
    </format>
    <format dxfId="269">
      <pivotArea dataOnly="0" labelOnly="1" grandRow="1" outline="0" fieldPosition="0"/>
    </format>
    <format dxfId="268">
      <pivotArea dataOnly="0" labelOnly="1" outline="0" fieldPosition="0">
        <references count="2">
          <reference field="2" count="1">
            <x v="4"/>
          </reference>
          <reference field="4" count="1" selected="0">
            <x v="0"/>
          </reference>
        </references>
      </pivotArea>
    </format>
    <format dxfId="267">
      <pivotArea dataOnly="0" labelOnly="1" outline="0" fieldPosition="0">
        <references count="2">
          <reference field="2" count="0"/>
          <reference field="4" count="1" selected="0">
            <x v="1"/>
          </reference>
        </references>
      </pivotArea>
    </format>
    <format dxfId="266">
      <pivotArea dataOnly="0" labelOnly="1" outline="0" fieldPosition="0">
        <references count="2">
          <reference field="2" count="4">
            <x v="0"/>
            <x v="1"/>
            <x v="2"/>
            <x v="4"/>
          </reference>
          <reference field="4" count="1" selected="0">
            <x v="2"/>
          </reference>
        </references>
      </pivotArea>
    </format>
    <format dxfId="265">
      <pivotArea dataOnly="0" labelOnly="1" outline="0" fieldPosition="0">
        <references count="2">
          <reference field="2" count="2">
            <x v="0"/>
            <x v="2"/>
          </reference>
          <reference field="4" count="1" selected="0">
            <x v="3"/>
          </reference>
        </references>
      </pivotArea>
    </format>
    <format dxfId="264">
      <pivotArea dataOnly="0" labelOnly="1" outline="0" fieldPosition="0">
        <references count="2">
          <reference field="2" count="3">
            <x v="0"/>
            <x v="1"/>
            <x v="2"/>
          </reference>
          <reference field="4" count="1" selected="0">
            <x v="4"/>
          </reference>
        </references>
      </pivotArea>
    </format>
    <format dxfId="263">
      <pivotArea dataOnly="0" labelOnly="1" outline="0" fieldPosition="0">
        <references count="2">
          <reference field="2" count="0"/>
          <reference field="4" count="1" selected="0">
            <x v="5"/>
          </reference>
        </references>
      </pivotArea>
    </format>
    <format dxfId="262">
      <pivotArea dataOnly="0" labelOnly="1" outline="0" fieldPosition="0">
        <references count="3">
          <reference field="2" count="1" selected="0">
            <x v="4"/>
          </reference>
          <reference field="3" count="1">
            <x v="6"/>
          </reference>
          <reference field="4" count="1" selected="0">
            <x v="0"/>
          </reference>
        </references>
      </pivotArea>
    </format>
    <format dxfId="261">
      <pivotArea dataOnly="0" labelOnly="1" outline="0" fieldPosition="0">
        <references count="3">
          <reference field="2" count="1" selected="0">
            <x v="0"/>
          </reference>
          <reference field="3" count="3">
            <x v="3"/>
            <x v="9"/>
            <x v="13"/>
          </reference>
          <reference field="4" count="1" selected="0">
            <x v="1"/>
          </reference>
        </references>
      </pivotArea>
    </format>
    <format dxfId="260">
      <pivotArea dataOnly="0" labelOnly="1" outline="0" fieldPosition="0">
        <references count="3">
          <reference field="2" count="1" selected="0">
            <x v="1"/>
          </reference>
          <reference field="3" count="2">
            <x v="1"/>
            <x v="10"/>
          </reference>
          <reference field="4" count="1" selected="0">
            <x v="1"/>
          </reference>
        </references>
      </pivotArea>
    </format>
    <format dxfId="259">
      <pivotArea dataOnly="0" labelOnly="1" outline="0" fieldPosition="0">
        <references count="3">
          <reference field="2" count="1" selected="0">
            <x v="2"/>
          </reference>
          <reference field="3" count="5">
            <x v="2"/>
            <x v="4"/>
            <x v="11"/>
            <x v="12"/>
            <x v="14"/>
          </reference>
          <reference field="4" count="1" selected="0">
            <x v="1"/>
          </reference>
        </references>
      </pivotArea>
    </format>
    <format dxfId="258">
      <pivotArea dataOnly="0" labelOnly="1" outline="0" fieldPosition="0">
        <references count="3">
          <reference field="2" count="1" selected="0">
            <x v="3"/>
          </reference>
          <reference field="3" count="1">
            <x v="5"/>
          </reference>
          <reference field="4" count="1" selected="0">
            <x v="1"/>
          </reference>
        </references>
      </pivotArea>
    </format>
    <format dxfId="257">
      <pivotArea dataOnly="0" labelOnly="1" outline="0" fieldPosition="0">
        <references count="3">
          <reference field="2" count="1" selected="0">
            <x v="4"/>
          </reference>
          <reference field="3" count="2">
            <x v="6"/>
            <x v="7"/>
          </reference>
          <reference field="4" count="1" selected="0">
            <x v="1"/>
          </reference>
        </references>
      </pivotArea>
    </format>
    <format dxfId="256">
      <pivotArea dataOnly="0" labelOnly="1" outline="0" fieldPosition="0">
        <references count="3">
          <reference field="2" count="1" selected="0">
            <x v="0"/>
          </reference>
          <reference field="3" count="3">
            <x v="3"/>
            <x v="9"/>
            <x v="13"/>
          </reference>
          <reference field="4" count="1" selected="0">
            <x v="2"/>
          </reference>
        </references>
      </pivotArea>
    </format>
    <format dxfId="255">
      <pivotArea dataOnly="0" labelOnly="1" outline="0" fieldPosition="0">
        <references count="3">
          <reference field="2" count="1" selected="0">
            <x v="1"/>
          </reference>
          <reference field="3" count="2">
            <x v="0"/>
            <x v="10"/>
          </reference>
          <reference field="4" count="1" selected="0">
            <x v="2"/>
          </reference>
        </references>
      </pivotArea>
    </format>
    <format dxfId="254">
      <pivotArea dataOnly="0" labelOnly="1" outline="0" fieldPosition="0">
        <references count="3">
          <reference field="2" count="1" selected="0">
            <x v="2"/>
          </reference>
          <reference field="3" count="3">
            <x v="4"/>
            <x v="11"/>
            <x v="12"/>
          </reference>
          <reference field="4" count="1" selected="0">
            <x v="2"/>
          </reference>
        </references>
      </pivotArea>
    </format>
    <format dxfId="253">
      <pivotArea dataOnly="0" labelOnly="1" outline="0" fieldPosition="0">
        <references count="3">
          <reference field="2" count="1" selected="0">
            <x v="4"/>
          </reference>
          <reference field="3" count="1">
            <x v="6"/>
          </reference>
          <reference field="4" count="1" selected="0">
            <x v="2"/>
          </reference>
        </references>
      </pivotArea>
    </format>
    <format dxfId="252">
      <pivotArea dataOnly="0" labelOnly="1" outline="0" fieldPosition="0">
        <references count="3">
          <reference field="2" count="1" selected="0">
            <x v="0"/>
          </reference>
          <reference field="3" count="2">
            <x v="8"/>
            <x v="13"/>
          </reference>
          <reference field="4" count="1" selected="0">
            <x v="3"/>
          </reference>
        </references>
      </pivotArea>
    </format>
    <format dxfId="251">
      <pivotArea dataOnly="0" labelOnly="1" outline="0" fieldPosition="0">
        <references count="3">
          <reference field="2" count="1" selected="0">
            <x v="2"/>
          </reference>
          <reference field="3" count="2">
            <x v="4"/>
            <x v="11"/>
          </reference>
          <reference field="4" count="1" selected="0">
            <x v="3"/>
          </reference>
        </references>
      </pivotArea>
    </format>
    <format dxfId="250">
      <pivotArea dataOnly="0" labelOnly="1" outline="0" fieldPosition="0">
        <references count="3">
          <reference field="2" count="1" selected="0">
            <x v="0"/>
          </reference>
          <reference field="3" count="1">
            <x v="13"/>
          </reference>
          <reference field="4" count="1" selected="0">
            <x v="4"/>
          </reference>
        </references>
      </pivotArea>
    </format>
    <format dxfId="249">
      <pivotArea dataOnly="0" labelOnly="1" outline="0" fieldPosition="0">
        <references count="3">
          <reference field="2" count="1" selected="0">
            <x v="1"/>
          </reference>
          <reference field="3" count="1">
            <x v="0"/>
          </reference>
          <reference field="4" count="1" selected="0">
            <x v="4"/>
          </reference>
        </references>
      </pivotArea>
    </format>
    <format dxfId="248">
      <pivotArea dataOnly="0" labelOnly="1" outline="0" fieldPosition="0">
        <references count="3">
          <reference field="2" count="1" selected="0">
            <x v="2"/>
          </reference>
          <reference field="3" count="1">
            <x v="12"/>
          </reference>
          <reference field="4" count="1" selected="0">
            <x v="4"/>
          </reference>
        </references>
      </pivotArea>
    </format>
    <format dxfId="247">
      <pivotArea dataOnly="0" labelOnly="1" outline="0" fieldPosition="0">
        <references count="3">
          <reference field="2" count="1" selected="0">
            <x v="0"/>
          </reference>
          <reference field="3" count="3">
            <x v="3"/>
            <x v="9"/>
            <x v="13"/>
          </reference>
          <reference field="4" count="1" selected="0">
            <x v="5"/>
          </reference>
        </references>
      </pivotArea>
    </format>
    <format dxfId="246">
      <pivotArea dataOnly="0" labelOnly="1" outline="0" fieldPosition="0">
        <references count="3">
          <reference field="2" count="1" selected="0">
            <x v="1"/>
          </reference>
          <reference field="3" count="2">
            <x v="0"/>
            <x v="10"/>
          </reference>
          <reference field="4" count="1" selected="0">
            <x v="5"/>
          </reference>
        </references>
      </pivotArea>
    </format>
    <format dxfId="245">
      <pivotArea dataOnly="0" labelOnly="1" outline="0" fieldPosition="0">
        <references count="3">
          <reference field="2" count="1" selected="0">
            <x v="2"/>
          </reference>
          <reference field="3" count="2">
            <x v="11"/>
            <x v="14"/>
          </reference>
          <reference field="4" count="1" selected="0">
            <x v="5"/>
          </reference>
        </references>
      </pivotArea>
    </format>
    <format dxfId="244">
      <pivotArea dataOnly="0" labelOnly="1" outline="0" fieldPosition="0">
        <references count="3">
          <reference field="2" count="1" selected="0">
            <x v="3"/>
          </reference>
          <reference field="3" count="1">
            <x v="5"/>
          </reference>
          <reference field="4" count="1" selected="0">
            <x v="5"/>
          </reference>
        </references>
      </pivotArea>
    </format>
    <format dxfId="243">
      <pivotArea dataOnly="0" labelOnly="1" outline="0" fieldPosition="0">
        <references count="3">
          <reference field="2" count="1" selected="0">
            <x v="4"/>
          </reference>
          <reference field="3" count="1">
            <x v="6"/>
          </reference>
          <reference field="4" count="1" selected="0">
            <x v="5"/>
          </reference>
        </references>
      </pivotArea>
    </format>
    <format dxfId="242">
      <pivotArea dataOnly="0" labelOnly="1" outline="0" fieldPosition="0">
        <references count="4">
          <reference field="1" count="2">
            <x v="10"/>
            <x v="26"/>
          </reference>
          <reference field="2" count="1" selected="0">
            <x v="4"/>
          </reference>
          <reference field="3" count="1" selected="0">
            <x v="6"/>
          </reference>
          <reference field="4" count="1" selected="0">
            <x v="0"/>
          </reference>
        </references>
      </pivotArea>
    </format>
    <format dxfId="241">
      <pivotArea dataOnly="0" labelOnly="1" outline="0" fieldPosition="0">
        <references count="4">
          <reference field="1" count="2">
            <x v="9"/>
            <x v="15"/>
          </reference>
          <reference field="2" count="1" selected="0">
            <x v="0"/>
          </reference>
          <reference field="3" count="1" selected="0">
            <x v="3"/>
          </reference>
          <reference field="4" count="1" selected="0">
            <x v="1"/>
          </reference>
        </references>
      </pivotArea>
    </format>
    <format dxfId="240">
      <pivotArea dataOnly="0" labelOnly="1" outline="0" fieldPosition="0">
        <references count="4">
          <reference field="1" count="1">
            <x v="33"/>
          </reference>
          <reference field="2" count="1" selected="0">
            <x v="0"/>
          </reference>
          <reference field="3" count="1" selected="0">
            <x v="9"/>
          </reference>
          <reference field="4" count="1" selected="0">
            <x v="1"/>
          </reference>
        </references>
      </pivotArea>
    </format>
    <format dxfId="239">
      <pivotArea dataOnly="0" labelOnly="1" outline="0" fieldPosition="0">
        <references count="4">
          <reference field="1" count="1">
            <x v="30"/>
          </reference>
          <reference field="2" count="1" selected="0">
            <x v="0"/>
          </reference>
          <reference field="3" count="1" selected="0">
            <x v="13"/>
          </reference>
          <reference field="4" count="1" selected="0">
            <x v="1"/>
          </reference>
        </references>
      </pivotArea>
    </format>
    <format dxfId="238">
      <pivotArea dataOnly="0" labelOnly="1" outline="0" fieldPosition="0">
        <references count="4">
          <reference field="1" count="2">
            <x v="6"/>
            <x v="19"/>
          </reference>
          <reference field="2" count="1" selected="0">
            <x v="1"/>
          </reference>
          <reference field="3" count="1" selected="0">
            <x v="1"/>
          </reference>
          <reference field="4" count="1" selected="0">
            <x v="1"/>
          </reference>
        </references>
      </pivotArea>
    </format>
    <format dxfId="237">
      <pivotArea dataOnly="0" labelOnly="1" outline="0" fieldPosition="0">
        <references count="4">
          <reference field="1" count="1">
            <x v="4"/>
          </reference>
          <reference field="2" count="1" selected="0">
            <x v="1"/>
          </reference>
          <reference field="3" count="1" selected="0">
            <x v="10"/>
          </reference>
          <reference field="4" count="1" selected="0">
            <x v="1"/>
          </reference>
        </references>
      </pivotArea>
    </format>
    <format dxfId="236">
      <pivotArea dataOnly="0" labelOnly="1" outline="0" fieldPosition="0">
        <references count="4">
          <reference field="1" count="1">
            <x v="37"/>
          </reference>
          <reference field="2" count="1" selected="0">
            <x v="2"/>
          </reference>
          <reference field="3" count="1" selected="0">
            <x v="2"/>
          </reference>
          <reference field="4" count="1" selected="0">
            <x v="1"/>
          </reference>
        </references>
      </pivotArea>
    </format>
    <format dxfId="235">
      <pivotArea dataOnly="0" labelOnly="1" outline="0" fieldPosition="0">
        <references count="4">
          <reference field="1" count="1">
            <x v="21"/>
          </reference>
          <reference field="2" count="1" selected="0">
            <x v="2"/>
          </reference>
          <reference field="3" count="1" selected="0">
            <x v="4"/>
          </reference>
          <reference field="4" count="1" selected="0">
            <x v="1"/>
          </reference>
        </references>
      </pivotArea>
    </format>
    <format dxfId="234">
      <pivotArea dataOnly="0" labelOnly="1" outline="0" fieldPosition="0">
        <references count="4">
          <reference field="1" count="7">
            <x v="3"/>
            <x v="14"/>
            <x v="16"/>
            <x v="23"/>
            <x v="28"/>
            <x v="32"/>
            <x v="39"/>
          </reference>
          <reference field="2" count="1" selected="0">
            <x v="2"/>
          </reference>
          <reference field="3" count="1" selected="0">
            <x v="11"/>
          </reference>
          <reference field="4" count="1" selected="0">
            <x v="1"/>
          </reference>
        </references>
      </pivotArea>
    </format>
    <format dxfId="233">
      <pivotArea dataOnly="0" labelOnly="1" outline="0" fieldPosition="0">
        <references count="4">
          <reference field="1" count="3">
            <x v="1"/>
            <x v="18"/>
            <x v="31"/>
          </reference>
          <reference field="2" count="1" selected="0">
            <x v="2"/>
          </reference>
          <reference field="3" count="1" selected="0">
            <x v="12"/>
          </reference>
          <reference field="4" count="1" selected="0">
            <x v="1"/>
          </reference>
        </references>
      </pivotArea>
    </format>
    <format dxfId="232">
      <pivotArea dataOnly="0" labelOnly="1" outline="0" fieldPosition="0">
        <references count="4">
          <reference field="1" count="4">
            <x v="0"/>
            <x v="12"/>
            <x v="29"/>
            <x v="35"/>
          </reference>
          <reference field="2" count="1" selected="0">
            <x v="2"/>
          </reference>
          <reference field="3" count="1" selected="0">
            <x v="14"/>
          </reference>
          <reference field="4" count="1" selected="0">
            <x v="1"/>
          </reference>
        </references>
      </pivotArea>
    </format>
    <format dxfId="231">
      <pivotArea dataOnly="0" labelOnly="1" outline="0" fieldPosition="0">
        <references count="4">
          <reference field="1" count="1">
            <x v="20"/>
          </reference>
          <reference field="2" count="1" selected="0">
            <x v="3"/>
          </reference>
          <reference field="3" count="1" selected="0">
            <x v="5"/>
          </reference>
          <reference field="4" count="1" selected="0">
            <x v="1"/>
          </reference>
        </references>
      </pivotArea>
    </format>
    <format dxfId="230">
      <pivotArea dataOnly="0" labelOnly="1" outline="0" fieldPosition="0">
        <references count="4">
          <reference field="1" count="1">
            <x v="26"/>
          </reference>
          <reference field="2" count="1" selected="0">
            <x v="4"/>
          </reference>
          <reference field="3" count="1" selected="0">
            <x v="6"/>
          </reference>
          <reference field="4" count="1" selected="0">
            <x v="1"/>
          </reference>
        </references>
      </pivotArea>
    </format>
    <format dxfId="229">
      <pivotArea dataOnly="0" labelOnly="1" outline="0" fieldPosition="0">
        <references count="4">
          <reference field="1" count="1">
            <x v="25"/>
          </reference>
          <reference field="2" count="1" selected="0">
            <x v="4"/>
          </reference>
          <reference field="3" count="1" selected="0">
            <x v="7"/>
          </reference>
          <reference field="4" count="1" selected="0">
            <x v="1"/>
          </reference>
        </references>
      </pivotArea>
    </format>
    <format dxfId="228">
      <pivotArea dataOnly="0" labelOnly="1" outline="0" fieldPosition="0">
        <references count="4">
          <reference field="1" count="1">
            <x v="15"/>
          </reference>
          <reference field="2" count="1" selected="0">
            <x v="0"/>
          </reference>
          <reference field="3" count="1" selected="0">
            <x v="3"/>
          </reference>
          <reference field="4" count="1" selected="0">
            <x v="2"/>
          </reference>
        </references>
      </pivotArea>
    </format>
    <format dxfId="227">
      <pivotArea dataOnly="0" labelOnly="1" outline="0" fieldPosition="0">
        <references count="4">
          <reference field="1" count="1">
            <x v="22"/>
          </reference>
          <reference field="2" count="1" selected="0">
            <x v="0"/>
          </reference>
          <reference field="3" count="1" selected="0">
            <x v="9"/>
          </reference>
          <reference field="4" count="1" selected="0">
            <x v="2"/>
          </reference>
        </references>
      </pivotArea>
    </format>
    <format dxfId="226">
      <pivotArea dataOnly="0" labelOnly="1" outline="0" fieldPosition="0">
        <references count="4">
          <reference field="1" count="1">
            <x v="13"/>
          </reference>
          <reference field="2" count="1" selected="0">
            <x v="0"/>
          </reference>
          <reference field="3" count="1" selected="0">
            <x v="13"/>
          </reference>
          <reference field="4" count="1" selected="0">
            <x v="2"/>
          </reference>
        </references>
      </pivotArea>
    </format>
    <format dxfId="225">
      <pivotArea dataOnly="0" labelOnly="1" outline="0" fieldPosition="0">
        <references count="4">
          <reference field="1" count="1">
            <x v="8"/>
          </reference>
          <reference field="2" count="1" selected="0">
            <x v="1"/>
          </reference>
          <reference field="3" count="1" selected="0">
            <x v="0"/>
          </reference>
          <reference field="4" count="1" selected="0">
            <x v="2"/>
          </reference>
        </references>
      </pivotArea>
    </format>
    <format dxfId="224">
      <pivotArea dataOnly="0" labelOnly="1" outline="0" fieldPosition="0">
        <references count="4">
          <reference field="1" count="2">
            <x v="5"/>
            <x v="27"/>
          </reference>
          <reference field="2" count="1" selected="0">
            <x v="1"/>
          </reference>
          <reference field="3" count="1" selected="0">
            <x v="10"/>
          </reference>
          <reference field="4" count="1" selected="0">
            <x v="2"/>
          </reference>
        </references>
      </pivotArea>
    </format>
    <format dxfId="223">
      <pivotArea dataOnly="0" labelOnly="1" outline="0" fieldPosition="0">
        <references count="4">
          <reference field="1" count="1">
            <x v="21"/>
          </reference>
          <reference field="2" count="1" selected="0">
            <x v="2"/>
          </reference>
          <reference field="3" count="1" selected="0">
            <x v="4"/>
          </reference>
          <reference field="4" count="1" selected="0">
            <x v="2"/>
          </reference>
        </references>
      </pivotArea>
    </format>
    <format dxfId="222">
      <pivotArea dataOnly="0" labelOnly="1" outline="0" fieldPosition="0">
        <references count="4">
          <reference field="1" count="4">
            <x v="3"/>
            <x v="14"/>
            <x v="32"/>
            <x v="39"/>
          </reference>
          <reference field="2" count="1" selected="0">
            <x v="2"/>
          </reference>
          <reference field="3" count="1" selected="0">
            <x v="11"/>
          </reference>
          <reference field="4" count="1" selected="0">
            <x v="2"/>
          </reference>
        </references>
      </pivotArea>
    </format>
    <format dxfId="221">
      <pivotArea dataOnly="0" labelOnly="1" outline="0" fieldPosition="0">
        <references count="4">
          <reference field="1" count="1">
            <x v="2"/>
          </reference>
          <reference field="2" count="1" selected="0">
            <x v="2"/>
          </reference>
          <reference field="3" count="1" selected="0">
            <x v="12"/>
          </reference>
          <reference field="4" count="1" selected="0">
            <x v="2"/>
          </reference>
        </references>
      </pivotArea>
    </format>
    <format dxfId="220">
      <pivotArea dataOnly="0" labelOnly="1" outline="0" fieldPosition="0">
        <references count="4">
          <reference field="1" count="1">
            <x v="26"/>
          </reference>
          <reference field="2" count="1" selected="0">
            <x v="4"/>
          </reference>
          <reference field="3" count="1" selected="0">
            <x v="6"/>
          </reference>
          <reference field="4" count="1" selected="0">
            <x v="2"/>
          </reference>
        </references>
      </pivotArea>
    </format>
    <format dxfId="219">
      <pivotArea dataOnly="0" labelOnly="1" outline="0" fieldPosition="0">
        <references count="4">
          <reference field="1" count="1">
            <x v="11"/>
          </reference>
          <reference field="2" count="1" selected="0">
            <x v="0"/>
          </reference>
          <reference field="3" count="1" selected="0">
            <x v="8"/>
          </reference>
          <reference field="4" count="1" selected="0">
            <x v="3"/>
          </reference>
        </references>
      </pivotArea>
    </format>
    <format dxfId="218">
      <pivotArea dataOnly="0" labelOnly="1" outline="0" fieldPosition="0">
        <references count="4">
          <reference field="1" count="1">
            <x v="13"/>
          </reference>
          <reference field="2" count="1" selected="0">
            <x v="0"/>
          </reference>
          <reference field="3" count="1" selected="0">
            <x v="13"/>
          </reference>
          <reference field="4" count="1" selected="0">
            <x v="3"/>
          </reference>
        </references>
      </pivotArea>
    </format>
    <format dxfId="217">
      <pivotArea dataOnly="0" labelOnly="1" outline="0" fieldPosition="0">
        <references count="4">
          <reference field="1" count="1">
            <x v="21"/>
          </reference>
          <reference field="2" count="1" selected="0">
            <x v="2"/>
          </reference>
          <reference field="3" count="1" selected="0">
            <x v="4"/>
          </reference>
          <reference field="4" count="1" selected="0">
            <x v="3"/>
          </reference>
        </references>
      </pivotArea>
    </format>
    <format dxfId="216">
      <pivotArea dataOnly="0" labelOnly="1" outline="0" fieldPosition="0">
        <references count="4">
          <reference field="1" count="2">
            <x v="16"/>
            <x v="39"/>
          </reference>
          <reference field="2" count="1" selected="0">
            <x v="2"/>
          </reference>
          <reference field="3" count="1" selected="0">
            <x v="11"/>
          </reference>
          <reference field="4" count="1" selected="0">
            <x v="3"/>
          </reference>
        </references>
      </pivotArea>
    </format>
    <format dxfId="215">
      <pivotArea dataOnly="0" labelOnly="1" outline="0" fieldPosition="0">
        <references count="4">
          <reference field="1" count="1">
            <x v="13"/>
          </reference>
          <reference field="2" count="1" selected="0">
            <x v="0"/>
          </reference>
          <reference field="3" count="1" selected="0">
            <x v="13"/>
          </reference>
          <reference field="4" count="1" selected="0">
            <x v="4"/>
          </reference>
        </references>
      </pivotArea>
    </format>
    <format dxfId="214">
      <pivotArea dataOnly="0" labelOnly="1" outline="0" fieldPosition="0">
        <references count="4">
          <reference field="1" count="1">
            <x v="8"/>
          </reference>
          <reference field="2" count="1" selected="0">
            <x v="1"/>
          </reference>
          <reference field="3" count="1" selected="0">
            <x v="0"/>
          </reference>
          <reference field="4" count="1" selected="0">
            <x v="4"/>
          </reference>
        </references>
      </pivotArea>
    </format>
    <format dxfId="213">
      <pivotArea dataOnly="0" labelOnly="1" outline="0" fieldPosition="0">
        <references count="4">
          <reference field="1" count="1">
            <x v="24"/>
          </reference>
          <reference field="2" count="1" selected="0">
            <x v="2"/>
          </reference>
          <reference field="3" count="1" selected="0">
            <x v="12"/>
          </reference>
          <reference field="4" count="1" selected="0">
            <x v="4"/>
          </reference>
        </references>
      </pivotArea>
    </format>
    <format dxfId="212">
      <pivotArea dataOnly="0" labelOnly="1" outline="0" fieldPosition="0">
        <references count="4">
          <reference field="1" count="1">
            <x v="17"/>
          </reference>
          <reference field="2" count="1" selected="0">
            <x v="0"/>
          </reference>
          <reference field="3" count="1" selected="0">
            <x v="3"/>
          </reference>
          <reference field="4" count="1" selected="0">
            <x v="5"/>
          </reference>
        </references>
      </pivotArea>
    </format>
    <format dxfId="211">
      <pivotArea dataOnly="0" labelOnly="1" outline="0" fieldPosition="0">
        <references count="4">
          <reference field="1" count="1">
            <x v="22"/>
          </reference>
          <reference field="2" count="1" selected="0">
            <x v="0"/>
          </reference>
          <reference field="3" count="1" selected="0">
            <x v="9"/>
          </reference>
          <reference field="4" count="1" selected="0">
            <x v="5"/>
          </reference>
        </references>
      </pivotArea>
    </format>
    <format dxfId="210">
      <pivotArea dataOnly="0" labelOnly="1" outline="0" fieldPosition="0">
        <references count="4">
          <reference field="1" count="2">
            <x v="13"/>
            <x v="30"/>
          </reference>
          <reference field="2" count="1" selected="0">
            <x v="0"/>
          </reference>
          <reference field="3" count="1" selected="0">
            <x v="13"/>
          </reference>
          <reference field="4" count="1" selected="0">
            <x v="5"/>
          </reference>
        </references>
      </pivotArea>
    </format>
    <format dxfId="209">
      <pivotArea dataOnly="0" labelOnly="1" outline="0" fieldPosition="0">
        <references count="4">
          <reference field="1" count="1">
            <x v="7"/>
          </reference>
          <reference field="2" count="1" selected="0">
            <x v="1"/>
          </reference>
          <reference field="3" count="1" selected="0">
            <x v="0"/>
          </reference>
          <reference field="4" count="1" selected="0">
            <x v="5"/>
          </reference>
        </references>
      </pivotArea>
    </format>
    <format dxfId="208">
      <pivotArea dataOnly="0" labelOnly="1" outline="0" fieldPosition="0">
        <references count="4">
          <reference field="1" count="3">
            <x v="4"/>
            <x v="27"/>
            <x v="36"/>
          </reference>
          <reference field="2" count="1" selected="0">
            <x v="1"/>
          </reference>
          <reference field="3" count="1" selected="0">
            <x v="10"/>
          </reference>
          <reference field="4" count="1" selected="0">
            <x v="5"/>
          </reference>
        </references>
      </pivotArea>
    </format>
    <format dxfId="207">
      <pivotArea dataOnly="0" labelOnly="1" outline="0" fieldPosition="0">
        <references count="4">
          <reference field="1" count="1">
            <x v="32"/>
          </reference>
          <reference field="2" count="1" selected="0">
            <x v="2"/>
          </reference>
          <reference field="3" count="1" selected="0">
            <x v="11"/>
          </reference>
          <reference field="4" count="1" selected="0">
            <x v="5"/>
          </reference>
        </references>
      </pivotArea>
    </format>
    <format dxfId="206">
      <pivotArea dataOnly="0" labelOnly="1" outline="0" fieldPosition="0">
        <references count="4">
          <reference field="1" count="1">
            <x v="12"/>
          </reference>
          <reference field="2" count="1" selected="0">
            <x v="2"/>
          </reference>
          <reference field="3" count="1" selected="0">
            <x v="14"/>
          </reference>
          <reference field="4" count="1" selected="0">
            <x v="5"/>
          </reference>
        </references>
      </pivotArea>
    </format>
    <format dxfId="205">
      <pivotArea dataOnly="0" labelOnly="1" outline="0" fieldPosition="0">
        <references count="4">
          <reference field="1" count="1">
            <x v="34"/>
          </reference>
          <reference field="2" count="1" selected="0">
            <x v="3"/>
          </reference>
          <reference field="3" count="1" selected="0">
            <x v="5"/>
          </reference>
          <reference field="4" count="1" selected="0">
            <x v="5"/>
          </reference>
        </references>
      </pivotArea>
    </format>
    <format dxfId="204">
      <pivotArea dataOnly="0" labelOnly="1" outline="0" fieldPosition="0">
        <references count="4">
          <reference field="1" count="1">
            <x v="38"/>
          </reference>
          <reference field="2" count="1" selected="0">
            <x v="4"/>
          </reference>
          <reference field="3" count="1" selected="0">
            <x v="6"/>
          </reference>
          <reference field="4" count="1" selected="0">
            <x v="5"/>
          </reference>
        </references>
      </pivotArea>
    </format>
    <format dxfId="203">
      <pivotArea type="all" dataOnly="0" outline="0" fieldPosition="0"/>
    </format>
    <format dxfId="202">
      <pivotArea field="4" type="button" dataOnly="0" labelOnly="1" outline="0" axis="axisRow" fieldPosition="0"/>
    </format>
    <format dxfId="201">
      <pivotArea field="2" type="button" dataOnly="0" labelOnly="1" outline="0" axis="axisRow" fieldPosition="1"/>
    </format>
    <format dxfId="200">
      <pivotArea field="3" type="button" dataOnly="0" labelOnly="1" outline="0" axis="axisRow" fieldPosition="2"/>
    </format>
    <format dxfId="199">
      <pivotArea field="1" type="button" dataOnly="0" labelOnly="1" outline="0" axis="axisRow" fieldPosition="3"/>
    </format>
    <format dxfId="198">
      <pivotArea dataOnly="0" labelOnly="1" outline="0" fieldPosition="0">
        <references count="1">
          <reference field="4" count="0"/>
        </references>
      </pivotArea>
    </format>
    <format dxfId="197">
      <pivotArea dataOnly="0" labelOnly="1" grandRow="1" outline="0" fieldPosition="0"/>
    </format>
    <format dxfId="196">
      <pivotArea dataOnly="0" labelOnly="1" outline="0" fieldPosition="0">
        <references count="2">
          <reference field="2" count="1">
            <x v="4"/>
          </reference>
          <reference field="4" count="1" selected="0">
            <x v="0"/>
          </reference>
        </references>
      </pivotArea>
    </format>
    <format dxfId="195">
      <pivotArea dataOnly="0" labelOnly="1" outline="0" fieldPosition="0">
        <references count="2">
          <reference field="2" count="0"/>
          <reference field="4" count="1" selected="0">
            <x v="1"/>
          </reference>
        </references>
      </pivotArea>
    </format>
    <format dxfId="194">
      <pivotArea dataOnly="0" labelOnly="1" outline="0" fieldPosition="0">
        <references count="2">
          <reference field="2" count="4">
            <x v="0"/>
            <x v="1"/>
            <x v="2"/>
            <x v="4"/>
          </reference>
          <reference field="4" count="1" selected="0">
            <x v="2"/>
          </reference>
        </references>
      </pivotArea>
    </format>
    <format dxfId="193">
      <pivotArea dataOnly="0" labelOnly="1" outline="0" fieldPosition="0">
        <references count="2">
          <reference field="2" count="2">
            <x v="0"/>
            <x v="2"/>
          </reference>
          <reference field="4" count="1" selected="0">
            <x v="3"/>
          </reference>
        </references>
      </pivotArea>
    </format>
    <format dxfId="192">
      <pivotArea dataOnly="0" labelOnly="1" outline="0" fieldPosition="0">
        <references count="2">
          <reference field="2" count="3">
            <x v="0"/>
            <x v="1"/>
            <x v="2"/>
          </reference>
          <reference field="4" count="1" selected="0">
            <x v="4"/>
          </reference>
        </references>
      </pivotArea>
    </format>
    <format dxfId="191">
      <pivotArea dataOnly="0" labelOnly="1" outline="0" fieldPosition="0">
        <references count="2">
          <reference field="2" count="0"/>
          <reference field="4" count="1" selected="0">
            <x v="5"/>
          </reference>
        </references>
      </pivotArea>
    </format>
    <format dxfId="190">
      <pivotArea dataOnly="0" labelOnly="1" outline="0" fieldPosition="0">
        <references count="3">
          <reference field="2" count="1" selected="0">
            <x v="4"/>
          </reference>
          <reference field="3" count="1">
            <x v="6"/>
          </reference>
          <reference field="4" count="1" selected="0">
            <x v="0"/>
          </reference>
        </references>
      </pivotArea>
    </format>
    <format dxfId="189">
      <pivotArea dataOnly="0" labelOnly="1" outline="0" fieldPosition="0">
        <references count="3">
          <reference field="2" count="1" selected="0">
            <x v="0"/>
          </reference>
          <reference field="3" count="3">
            <x v="3"/>
            <x v="9"/>
            <x v="13"/>
          </reference>
          <reference field="4" count="1" selected="0">
            <x v="1"/>
          </reference>
        </references>
      </pivotArea>
    </format>
    <format dxfId="188">
      <pivotArea dataOnly="0" labelOnly="1" outline="0" fieldPosition="0">
        <references count="3">
          <reference field="2" count="1" selected="0">
            <x v="1"/>
          </reference>
          <reference field="3" count="2">
            <x v="1"/>
            <x v="10"/>
          </reference>
          <reference field="4" count="1" selected="0">
            <x v="1"/>
          </reference>
        </references>
      </pivotArea>
    </format>
    <format dxfId="187">
      <pivotArea dataOnly="0" labelOnly="1" outline="0" fieldPosition="0">
        <references count="3">
          <reference field="2" count="1" selected="0">
            <x v="2"/>
          </reference>
          <reference field="3" count="5">
            <x v="2"/>
            <x v="4"/>
            <x v="11"/>
            <x v="12"/>
            <x v="14"/>
          </reference>
          <reference field="4" count="1" selected="0">
            <x v="1"/>
          </reference>
        </references>
      </pivotArea>
    </format>
    <format dxfId="186">
      <pivotArea dataOnly="0" labelOnly="1" outline="0" fieldPosition="0">
        <references count="3">
          <reference field="2" count="1" selected="0">
            <x v="3"/>
          </reference>
          <reference field="3" count="1">
            <x v="5"/>
          </reference>
          <reference field="4" count="1" selected="0">
            <x v="1"/>
          </reference>
        </references>
      </pivotArea>
    </format>
    <format dxfId="185">
      <pivotArea dataOnly="0" labelOnly="1" outline="0" fieldPosition="0">
        <references count="3">
          <reference field="2" count="1" selected="0">
            <x v="4"/>
          </reference>
          <reference field="3" count="2">
            <x v="6"/>
            <x v="7"/>
          </reference>
          <reference field="4" count="1" selected="0">
            <x v="1"/>
          </reference>
        </references>
      </pivotArea>
    </format>
    <format dxfId="184">
      <pivotArea dataOnly="0" labelOnly="1" outline="0" fieldPosition="0">
        <references count="3">
          <reference field="2" count="1" selected="0">
            <x v="0"/>
          </reference>
          <reference field="3" count="3">
            <x v="3"/>
            <x v="9"/>
            <x v="13"/>
          </reference>
          <reference field="4" count="1" selected="0">
            <x v="2"/>
          </reference>
        </references>
      </pivotArea>
    </format>
    <format dxfId="183">
      <pivotArea dataOnly="0" labelOnly="1" outline="0" fieldPosition="0">
        <references count="3">
          <reference field="2" count="1" selected="0">
            <x v="1"/>
          </reference>
          <reference field="3" count="2">
            <x v="0"/>
            <x v="10"/>
          </reference>
          <reference field="4" count="1" selected="0">
            <x v="2"/>
          </reference>
        </references>
      </pivotArea>
    </format>
    <format dxfId="182">
      <pivotArea dataOnly="0" labelOnly="1" outline="0" fieldPosition="0">
        <references count="3">
          <reference field="2" count="1" selected="0">
            <x v="2"/>
          </reference>
          <reference field="3" count="3">
            <x v="4"/>
            <x v="11"/>
            <x v="12"/>
          </reference>
          <reference field="4" count="1" selected="0">
            <x v="2"/>
          </reference>
        </references>
      </pivotArea>
    </format>
    <format dxfId="181">
      <pivotArea dataOnly="0" labelOnly="1" outline="0" fieldPosition="0">
        <references count="3">
          <reference field="2" count="1" selected="0">
            <x v="4"/>
          </reference>
          <reference field="3" count="1">
            <x v="6"/>
          </reference>
          <reference field="4" count="1" selected="0">
            <x v="2"/>
          </reference>
        </references>
      </pivotArea>
    </format>
    <format dxfId="180">
      <pivotArea dataOnly="0" labelOnly="1" outline="0" fieldPosition="0">
        <references count="3">
          <reference field="2" count="1" selected="0">
            <x v="0"/>
          </reference>
          <reference field="3" count="2">
            <x v="8"/>
            <x v="13"/>
          </reference>
          <reference field="4" count="1" selected="0">
            <x v="3"/>
          </reference>
        </references>
      </pivotArea>
    </format>
    <format dxfId="179">
      <pivotArea dataOnly="0" labelOnly="1" outline="0" fieldPosition="0">
        <references count="3">
          <reference field="2" count="1" selected="0">
            <x v="2"/>
          </reference>
          <reference field="3" count="2">
            <x v="4"/>
            <x v="11"/>
          </reference>
          <reference field="4" count="1" selected="0">
            <x v="3"/>
          </reference>
        </references>
      </pivotArea>
    </format>
    <format dxfId="178">
      <pivotArea dataOnly="0" labelOnly="1" outline="0" fieldPosition="0">
        <references count="3">
          <reference field="2" count="1" selected="0">
            <x v="0"/>
          </reference>
          <reference field="3" count="1">
            <x v="13"/>
          </reference>
          <reference field="4" count="1" selected="0">
            <x v="4"/>
          </reference>
        </references>
      </pivotArea>
    </format>
    <format dxfId="177">
      <pivotArea dataOnly="0" labelOnly="1" outline="0" fieldPosition="0">
        <references count="3">
          <reference field="2" count="1" selected="0">
            <x v="1"/>
          </reference>
          <reference field="3" count="1">
            <x v="0"/>
          </reference>
          <reference field="4" count="1" selected="0">
            <x v="4"/>
          </reference>
        </references>
      </pivotArea>
    </format>
    <format dxfId="176">
      <pivotArea dataOnly="0" labelOnly="1" outline="0" fieldPosition="0">
        <references count="3">
          <reference field="2" count="1" selected="0">
            <x v="2"/>
          </reference>
          <reference field="3" count="1">
            <x v="12"/>
          </reference>
          <reference field="4" count="1" selected="0">
            <x v="4"/>
          </reference>
        </references>
      </pivotArea>
    </format>
    <format dxfId="175">
      <pivotArea dataOnly="0" labelOnly="1" outline="0" fieldPosition="0">
        <references count="3">
          <reference field="2" count="1" selected="0">
            <x v="0"/>
          </reference>
          <reference field="3" count="3">
            <x v="3"/>
            <x v="9"/>
            <x v="13"/>
          </reference>
          <reference field="4" count="1" selected="0">
            <x v="5"/>
          </reference>
        </references>
      </pivotArea>
    </format>
    <format dxfId="174">
      <pivotArea dataOnly="0" labelOnly="1" outline="0" fieldPosition="0">
        <references count="3">
          <reference field="2" count="1" selected="0">
            <x v="1"/>
          </reference>
          <reference field="3" count="2">
            <x v="0"/>
            <x v="10"/>
          </reference>
          <reference field="4" count="1" selected="0">
            <x v="5"/>
          </reference>
        </references>
      </pivotArea>
    </format>
    <format dxfId="173">
      <pivotArea dataOnly="0" labelOnly="1" outline="0" fieldPosition="0">
        <references count="3">
          <reference field="2" count="1" selected="0">
            <x v="2"/>
          </reference>
          <reference field="3" count="2">
            <x v="11"/>
            <x v="14"/>
          </reference>
          <reference field="4" count="1" selected="0">
            <x v="5"/>
          </reference>
        </references>
      </pivotArea>
    </format>
    <format dxfId="172">
      <pivotArea dataOnly="0" labelOnly="1" outline="0" fieldPosition="0">
        <references count="3">
          <reference field="2" count="1" selected="0">
            <x v="3"/>
          </reference>
          <reference field="3" count="1">
            <x v="5"/>
          </reference>
          <reference field="4" count="1" selected="0">
            <x v="5"/>
          </reference>
        </references>
      </pivotArea>
    </format>
    <format dxfId="171">
      <pivotArea dataOnly="0" labelOnly="1" outline="0" fieldPosition="0">
        <references count="3">
          <reference field="2" count="1" selected="0">
            <x v="4"/>
          </reference>
          <reference field="3" count="1">
            <x v="6"/>
          </reference>
          <reference field="4" count="1" selected="0">
            <x v="5"/>
          </reference>
        </references>
      </pivotArea>
    </format>
    <format dxfId="170">
      <pivotArea dataOnly="0" labelOnly="1" outline="0" fieldPosition="0">
        <references count="4">
          <reference field="1" count="2">
            <x v="10"/>
            <x v="26"/>
          </reference>
          <reference field="2" count="1" selected="0">
            <x v="4"/>
          </reference>
          <reference field="3" count="1" selected="0">
            <x v="6"/>
          </reference>
          <reference field="4" count="1" selected="0">
            <x v="0"/>
          </reference>
        </references>
      </pivotArea>
    </format>
    <format dxfId="169">
      <pivotArea dataOnly="0" labelOnly="1" outline="0" fieldPosition="0">
        <references count="4">
          <reference field="1" count="2">
            <x v="9"/>
            <x v="15"/>
          </reference>
          <reference field="2" count="1" selected="0">
            <x v="0"/>
          </reference>
          <reference field="3" count="1" selected="0">
            <x v="3"/>
          </reference>
          <reference field="4" count="1" selected="0">
            <x v="1"/>
          </reference>
        </references>
      </pivotArea>
    </format>
    <format dxfId="168">
      <pivotArea dataOnly="0" labelOnly="1" outline="0" fieldPosition="0">
        <references count="4">
          <reference field="1" count="1">
            <x v="33"/>
          </reference>
          <reference field="2" count="1" selected="0">
            <x v="0"/>
          </reference>
          <reference field="3" count="1" selected="0">
            <x v="9"/>
          </reference>
          <reference field="4" count="1" selected="0">
            <x v="1"/>
          </reference>
        </references>
      </pivotArea>
    </format>
    <format dxfId="167">
      <pivotArea dataOnly="0" labelOnly="1" outline="0" fieldPosition="0">
        <references count="4">
          <reference field="1" count="1">
            <x v="30"/>
          </reference>
          <reference field="2" count="1" selected="0">
            <x v="0"/>
          </reference>
          <reference field="3" count="1" selected="0">
            <x v="13"/>
          </reference>
          <reference field="4" count="1" selected="0">
            <x v="1"/>
          </reference>
        </references>
      </pivotArea>
    </format>
    <format dxfId="166">
      <pivotArea dataOnly="0" labelOnly="1" outline="0" fieldPosition="0">
        <references count="4">
          <reference field="1" count="2">
            <x v="6"/>
            <x v="19"/>
          </reference>
          <reference field="2" count="1" selected="0">
            <x v="1"/>
          </reference>
          <reference field="3" count="1" selected="0">
            <x v="1"/>
          </reference>
          <reference field="4" count="1" selected="0">
            <x v="1"/>
          </reference>
        </references>
      </pivotArea>
    </format>
    <format dxfId="165">
      <pivotArea dataOnly="0" labelOnly="1" outline="0" fieldPosition="0">
        <references count="4">
          <reference field="1" count="1">
            <x v="4"/>
          </reference>
          <reference field="2" count="1" selected="0">
            <x v="1"/>
          </reference>
          <reference field="3" count="1" selected="0">
            <x v="10"/>
          </reference>
          <reference field="4" count="1" selected="0">
            <x v="1"/>
          </reference>
        </references>
      </pivotArea>
    </format>
    <format dxfId="164">
      <pivotArea dataOnly="0" labelOnly="1" outline="0" fieldPosition="0">
        <references count="4">
          <reference field="1" count="1">
            <x v="37"/>
          </reference>
          <reference field="2" count="1" selected="0">
            <x v="2"/>
          </reference>
          <reference field="3" count="1" selected="0">
            <x v="2"/>
          </reference>
          <reference field="4" count="1" selected="0">
            <x v="1"/>
          </reference>
        </references>
      </pivotArea>
    </format>
    <format dxfId="163">
      <pivotArea dataOnly="0" labelOnly="1" outline="0" fieldPosition="0">
        <references count="4">
          <reference field="1" count="1">
            <x v="21"/>
          </reference>
          <reference field="2" count="1" selected="0">
            <x v="2"/>
          </reference>
          <reference field="3" count="1" selected="0">
            <x v="4"/>
          </reference>
          <reference field="4" count="1" selected="0">
            <x v="1"/>
          </reference>
        </references>
      </pivotArea>
    </format>
    <format dxfId="162">
      <pivotArea dataOnly="0" labelOnly="1" outline="0" fieldPosition="0">
        <references count="4">
          <reference field="1" count="7">
            <x v="3"/>
            <x v="14"/>
            <x v="16"/>
            <x v="23"/>
            <x v="28"/>
            <x v="32"/>
            <x v="39"/>
          </reference>
          <reference field="2" count="1" selected="0">
            <x v="2"/>
          </reference>
          <reference field="3" count="1" selected="0">
            <x v="11"/>
          </reference>
          <reference field="4" count="1" selected="0">
            <x v="1"/>
          </reference>
        </references>
      </pivotArea>
    </format>
    <format dxfId="161">
      <pivotArea dataOnly="0" labelOnly="1" outline="0" fieldPosition="0">
        <references count="4">
          <reference field="1" count="3">
            <x v="1"/>
            <x v="18"/>
            <x v="31"/>
          </reference>
          <reference field="2" count="1" selected="0">
            <x v="2"/>
          </reference>
          <reference field="3" count="1" selected="0">
            <x v="12"/>
          </reference>
          <reference field="4" count="1" selected="0">
            <x v="1"/>
          </reference>
        </references>
      </pivotArea>
    </format>
    <format dxfId="160">
      <pivotArea dataOnly="0" labelOnly="1" outline="0" fieldPosition="0">
        <references count="4">
          <reference field="1" count="4">
            <x v="0"/>
            <x v="12"/>
            <x v="29"/>
            <x v="35"/>
          </reference>
          <reference field="2" count="1" selected="0">
            <x v="2"/>
          </reference>
          <reference field="3" count="1" selected="0">
            <x v="14"/>
          </reference>
          <reference field="4" count="1" selected="0">
            <x v="1"/>
          </reference>
        </references>
      </pivotArea>
    </format>
    <format dxfId="159">
      <pivotArea dataOnly="0" labelOnly="1" outline="0" fieldPosition="0">
        <references count="4">
          <reference field="1" count="1">
            <x v="20"/>
          </reference>
          <reference field="2" count="1" selected="0">
            <x v="3"/>
          </reference>
          <reference field="3" count="1" selected="0">
            <x v="5"/>
          </reference>
          <reference field="4" count="1" selected="0">
            <x v="1"/>
          </reference>
        </references>
      </pivotArea>
    </format>
    <format dxfId="158">
      <pivotArea dataOnly="0" labelOnly="1" outline="0" fieldPosition="0">
        <references count="4">
          <reference field="1" count="1">
            <x v="26"/>
          </reference>
          <reference field="2" count="1" selected="0">
            <x v="4"/>
          </reference>
          <reference field="3" count="1" selected="0">
            <x v="6"/>
          </reference>
          <reference field="4" count="1" selected="0">
            <x v="1"/>
          </reference>
        </references>
      </pivotArea>
    </format>
    <format dxfId="157">
      <pivotArea dataOnly="0" labelOnly="1" outline="0" fieldPosition="0">
        <references count="4">
          <reference field="1" count="1">
            <x v="25"/>
          </reference>
          <reference field="2" count="1" selected="0">
            <x v="4"/>
          </reference>
          <reference field="3" count="1" selected="0">
            <x v="7"/>
          </reference>
          <reference field="4" count="1" selected="0">
            <x v="1"/>
          </reference>
        </references>
      </pivotArea>
    </format>
    <format dxfId="156">
      <pivotArea dataOnly="0" labelOnly="1" outline="0" fieldPosition="0">
        <references count="4">
          <reference field="1" count="1">
            <x v="15"/>
          </reference>
          <reference field="2" count="1" selected="0">
            <x v="0"/>
          </reference>
          <reference field="3" count="1" selected="0">
            <x v="3"/>
          </reference>
          <reference field="4" count="1" selected="0">
            <x v="2"/>
          </reference>
        </references>
      </pivotArea>
    </format>
    <format dxfId="155">
      <pivotArea dataOnly="0" labelOnly="1" outline="0" fieldPosition="0">
        <references count="4">
          <reference field="1" count="1">
            <x v="22"/>
          </reference>
          <reference field="2" count="1" selected="0">
            <x v="0"/>
          </reference>
          <reference field="3" count="1" selected="0">
            <x v="9"/>
          </reference>
          <reference field="4" count="1" selected="0">
            <x v="2"/>
          </reference>
        </references>
      </pivotArea>
    </format>
    <format dxfId="154">
      <pivotArea dataOnly="0" labelOnly="1" outline="0" fieldPosition="0">
        <references count="4">
          <reference field="1" count="1">
            <x v="13"/>
          </reference>
          <reference field="2" count="1" selected="0">
            <x v="0"/>
          </reference>
          <reference field="3" count="1" selected="0">
            <x v="13"/>
          </reference>
          <reference field="4" count="1" selected="0">
            <x v="2"/>
          </reference>
        </references>
      </pivotArea>
    </format>
    <format dxfId="153">
      <pivotArea dataOnly="0" labelOnly="1" outline="0" fieldPosition="0">
        <references count="4">
          <reference field="1" count="1">
            <x v="8"/>
          </reference>
          <reference field="2" count="1" selected="0">
            <x v="1"/>
          </reference>
          <reference field="3" count="1" selected="0">
            <x v="0"/>
          </reference>
          <reference field="4" count="1" selected="0">
            <x v="2"/>
          </reference>
        </references>
      </pivotArea>
    </format>
    <format dxfId="152">
      <pivotArea dataOnly="0" labelOnly="1" outline="0" fieldPosition="0">
        <references count="4">
          <reference field="1" count="2">
            <x v="5"/>
            <x v="27"/>
          </reference>
          <reference field="2" count="1" selected="0">
            <x v="1"/>
          </reference>
          <reference field="3" count="1" selected="0">
            <x v="10"/>
          </reference>
          <reference field="4" count="1" selected="0">
            <x v="2"/>
          </reference>
        </references>
      </pivotArea>
    </format>
    <format dxfId="151">
      <pivotArea dataOnly="0" labelOnly="1" outline="0" fieldPosition="0">
        <references count="4">
          <reference field="1" count="1">
            <x v="21"/>
          </reference>
          <reference field="2" count="1" selected="0">
            <x v="2"/>
          </reference>
          <reference field="3" count="1" selected="0">
            <x v="4"/>
          </reference>
          <reference field="4" count="1" selected="0">
            <x v="2"/>
          </reference>
        </references>
      </pivotArea>
    </format>
    <format dxfId="150">
      <pivotArea dataOnly="0" labelOnly="1" outline="0" fieldPosition="0">
        <references count="4">
          <reference field="1" count="4">
            <x v="3"/>
            <x v="14"/>
            <x v="32"/>
            <x v="39"/>
          </reference>
          <reference field="2" count="1" selected="0">
            <x v="2"/>
          </reference>
          <reference field="3" count="1" selected="0">
            <x v="11"/>
          </reference>
          <reference field="4" count="1" selected="0">
            <x v="2"/>
          </reference>
        </references>
      </pivotArea>
    </format>
    <format dxfId="149">
      <pivotArea dataOnly="0" labelOnly="1" outline="0" fieldPosition="0">
        <references count="4">
          <reference field="1" count="1">
            <x v="2"/>
          </reference>
          <reference field="2" count="1" selected="0">
            <x v="2"/>
          </reference>
          <reference field="3" count="1" selected="0">
            <x v="12"/>
          </reference>
          <reference field="4" count="1" selected="0">
            <x v="2"/>
          </reference>
        </references>
      </pivotArea>
    </format>
    <format dxfId="148">
      <pivotArea dataOnly="0" labelOnly="1" outline="0" fieldPosition="0">
        <references count="4">
          <reference field="1" count="1">
            <x v="26"/>
          </reference>
          <reference field="2" count="1" selected="0">
            <x v="4"/>
          </reference>
          <reference field="3" count="1" selected="0">
            <x v="6"/>
          </reference>
          <reference field="4" count="1" selected="0">
            <x v="2"/>
          </reference>
        </references>
      </pivotArea>
    </format>
    <format dxfId="147">
      <pivotArea dataOnly="0" labelOnly="1" outline="0" fieldPosition="0">
        <references count="4">
          <reference field="1" count="1">
            <x v="11"/>
          </reference>
          <reference field="2" count="1" selected="0">
            <x v="0"/>
          </reference>
          <reference field="3" count="1" selected="0">
            <x v="8"/>
          </reference>
          <reference field="4" count="1" selected="0">
            <x v="3"/>
          </reference>
        </references>
      </pivotArea>
    </format>
    <format dxfId="146">
      <pivotArea dataOnly="0" labelOnly="1" outline="0" fieldPosition="0">
        <references count="4">
          <reference field="1" count="1">
            <x v="13"/>
          </reference>
          <reference field="2" count="1" selected="0">
            <x v="0"/>
          </reference>
          <reference field="3" count="1" selected="0">
            <x v="13"/>
          </reference>
          <reference field="4" count="1" selected="0">
            <x v="3"/>
          </reference>
        </references>
      </pivotArea>
    </format>
    <format dxfId="145">
      <pivotArea dataOnly="0" labelOnly="1" outline="0" fieldPosition="0">
        <references count="4">
          <reference field="1" count="1">
            <x v="21"/>
          </reference>
          <reference field="2" count="1" selected="0">
            <x v="2"/>
          </reference>
          <reference field="3" count="1" selected="0">
            <x v="4"/>
          </reference>
          <reference field="4" count="1" selected="0">
            <x v="3"/>
          </reference>
        </references>
      </pivotArea>
    </format>
    <format dxfId="144">
      <pivotArea dataOnly="0" labelOnly="1" outline="0" fieldPosition="0">
        <references count="4">
          <reference field="1" count="2">
            <x v="16"/>
            <x v="39"/>
          </reference>
          <reference field="2" count="1" selected="0">
            <x v="2"/>
          </reference>
          <reference field="3" count="1" selected="0">
            <x v="11"/>
          </reference>
          <reference field="4" count="1" selected="0">
            <x v="3"/>
          </reference>
        </references>
      </pivotArea>
    </format>
    <format dxfId="143">
      <pivotArea dataOnly="0" labelOnly="1" outline="0" fieldPosition="0">
        <references count="4">
          <reference field="1" count="1">
            <x v="13"/>
          </reference>
          <reference field="2" count="1" selected="0">
            <x v="0"/>
          </reference>
          <reference field="3" count="1" selected="0">
            <x v="13"/>
          </reference>
          <reference field="4" count="1" selected="0">
            <x v="4"/>
          </reference>
        </references>
      </pivotArea>
    </format>
    <format dxfId="142">
      <pivotArea dataOnly="0" labelOnly="1" outline="0" fieldPosition="0">
        <references count="4">
          <reference field="1" count="1">
            <x v="8"/>
          </reference>
          <reference field="2" count="1" selected="0">
            <x v="1"/>
          </reference>
          <reference field="3" count="1" selected="0">
            <x v="0"/>
          </reference>
          <reference field="4" count="1" selected="0">
            <x v="4"/>
          </reference>
        </references>
      </pivotArea>
    </format>
    <format dxfId="141">
      <pivotArea dataOnly="0" labelOnly="1" outline="0" fieldPosition="0">
        <references count="4">
          <reference field="1" count="1">
            <x v="24"/>
          </reference>
          <reference field="2" count="1" selected="0">
            <x v="2"/>
          </reference>
          <reference field="3" count="1" selected="0">
            <x v="12"/>
          </reference>
          <reference field="4" count="1" selected="0">
            <x v="4"/>
          </reference>
        </references>
      </pivotArea>
    </format>
    <format dxfId="140">
      <pivotArea dataOnly="0" labelOnly="1" outline="0" fieldPosition="0">
        <references count="4">
          <reference field="1" count="1">
            <x v="17"/>
          </reference>
          <reference field="2" count="1" selected="0">
            <x v="0"/>
          </reference>
          <reference field="3" count="1" selected="0">
            <x v="3"/>
          </reference>
          <reference field="4" count="1" selected="0">
            <x v="5"/>
          </reference>
        </references>
      </pivotArea>
    </format>
    <format dxfId="139">
      <pivotArea dataOnly="0" labelOnly="1" outline="0" fieldPosition="0">
        <references count="4">
          <reference field="1" count="1">
            <x v="22"/>
          </reference>
          <reference field="2" count="1" selected="0">
            <x v="0"/>
          </reference>
          <reference field="3" count="1" selected="0">
            <x v="9"/>
          </reference>
          <reference field="4" count="1" selected="0">
            <x v="5"/>
          </reference>
        </references>
      </pivotArea>
    </format>
    <format dxfId="138">
      <pivotArea dataOnly="0" labelOnly="1" outline="0" fieldPosition="0">
        <references count="4">
          <reference field="1" count="2">
            <x v="13"/>
            <x v="30"/>
          </reference>
          <reference field="2" count="1" selected="0">
            <x v="0"/>
          </reference>
          <reference field="3" count="1" selected="0">
            <x v="13"/>
          </reference>
          <reference field="4" count="1" selected="0">
            <x v="5"/>
          </reference>
        </references>
      </pivotArea>
    </format>
    <format dxfId="137">
      <pivotArea dataOnly="0" labelOnly="1" outline="0" fieldPosition="0">
        <references count="4">
          <reference field="1" count="1">
            <x v="7"/>
          </reference>
          <reference field="2" count="1" selected="0">
            <x v="1"/>
          </reference>
          <reference field="3" count="1" selected="0">
            <x v="0"/>
          </reference>
          <reference field="4" count="1" selected="0">
            <x v="5"/>
          </reference>
        </references>
      </pivotArea>
    </format>
    <format dxfId="136">
      <pivotArea dataOnly="0" labelOnly="1" outline="0" fieldPosition="0">
        <references count="4">
          <reference field="1" count="3">
            <x v="4"/>
            <x v="27"/>
            <x v="36"/>
          </reference>
          <reference field="2" count="1" selected="0">
            <x v="1"/>
          </reference>
          <reference field="3" count="1" selected="0">
            <x v="10"/>
          </reference>
          <reference field="4" count="1" selected="0">
            <x v="5"/>
          </reference>
        </references>
      </pivotArea>
    </format>
    <format dxfId="135">
      <pivotArea dataOnly="0" labelOnly="1" outline="0" fieldPosition="0">
        <references count="4">
          <reference field="1" count="1">
            <x v="32"/>
          </reference>
          <reference field="2" count="1" selected="0">
            <x v="2"/>
          </reference>
          <reference field="3" count="1" selected="0">
            <x v="11"/>
          </reference>
          <reference field="4" count="1" selected="0">
            <x v="5"/>
          </reference>
        </references>
      </pivotArea>
    </format>
    <format dxfId="134">
      <pivotArea dataOnly="0" labelOnly="1" outline="0" fieldPosition="0">
        <references count="4">
          <reference field="1" count="1">
            <x v="12"/>
          </reference>
          <reference field="2" count="1" selected="0">
            <x v="2"/>
          </reference>
          <reference field="3" count="1" selected="0">
            <x v="14"/>
          </reference>
          <reference field="4" count="1" selected="0">
            <x v="5"/>
          </reference>
        </references>
      </pivotArea>
    </format>
    <format dxfId="133">
      <pivotArea dataOnly="0" labelOnly="1" outline="0" fieldPosition="0">
        <references count="4">
          <reference field="1" count="1">
            <x v="34"/>
          </reference>
          <reference field="2" count="1" selected="0">
            <x v="3"/>
          </reference>
          <reference field="3" count="1" selected="0">
            <x v="5"/>
          </reference>
          <reference field="4" count="1" selected="0">
            <x v="5"/>
          </reference>
        </references>
      </pivotArea>
    </format>
    <format dxfId="132">
      <pivotArea dataOnly="0" labelOnly="1" outline="0" fieldPosition="0">
        <references count="4">
          <reference field="1" count="1">
            <x v="38"/>
          </reference>
          <reference field="2" count="1" selected="0">
            <x v="4"/>
          </reference>
          <reference field="3" count="1" selected="0">
            <x v="6"/>
          </reference>
          <reference field="4" count="1" selected="0">
            <x v="5"/>
          </reference>
        </references>
      </pivotArea>
    </format>
    <format dxfId="131">
      <pivotArea dataOnly="0" labelOnly="1" outline="0" fieldPosition="0">
        <references count="2">
          <reference field="2" count="1">
            <x v="4"/>
          </reference>
          <reference field="4" count="1" selected="0">
            <x v="0"/>
          </reference>
        </references>
      </pivotArea>
    </format>
    <format dxfId="130">
      <pivotArea dataOnly="0" labelOnly="1" outline="0" fieldPosition="0">
        <references count="2">
          <reference field="2" count="0"/>
          <reference field="4" count="1" selected="0">
            <x v="1"/>
          </reference>
        </references>
      </pivotArea>
    </format>
    <format dxfId="129">
      <pivotArea dataOnly="0" labelOnly="1" outline="0" fieldPosition="0">
        <references count="2">
          <reference field="2" count="4">
            <x v="0"/>
            <x v="1"/>
            <x v="2"/>
            <x v="4"/>
          </reference>
          <reference field="4" count="1" selected="0">
            <x v="2"/>
          </reference>
        </references>
      </pivotArea>
    </format>
    <format dxfId="128">
      <pivotArea dataOnly="0" labelOnly="1" outline="0" fieldPosition="0">
        <references count="2">
          <reference field="2" count="2">
            <x v="0"/>
            <x v="2"/>
          </reference>
          <reference field="4" count="1" selected="0">
            <x v="3"/>
          </reference>
        </references>
      </pivotArea>
    </format>
    <format dxfId="127">
      <pivotArea dataOnly="0" labelOnly="1" outline="0" fieldPosition="0">
        <references count="2">
          <reference field="2" count="3">
            <x v="0"/>
            <x v="1"/>
            <x v="2"/>
          </reference>
          <reference field="4" count="1" selected="0">
            <x v="4"/>
          </reference>
        </references>
      </pivotArea>
    </format>
    <format dxfId="126">
      <pivotArea dataOnly="0" labelOnly="1" outline="0" fieldPosition="0">
        <references count="2">
          <reference field="2" count="0"/>
          <reference field="4" count="1" selected="0">
            <x v="5"/>
          </reference>
        </references>
      </pivotArea>
    </format>
    <format dxfId="125">
      <pivotArea dataOnly="0" labelOnly="1" outline="0" fieldPosition="0">
        <references count="3">
          <reference field="2" count="1" selected="0">
            <x v="4"/>
          </reference>
          <reference field="3" count="1">
            <x v="6"/>
          </reference>
          <reference field="4" count="1" selected="0">
            <x v="0"/>
          </reference>
        </references>
      </pivotArea>
    </format>
    <format dxfId="124">
      <pivotArea dataOnly="0" labelOnly="1" outline="0" fieldPosition="0">
        <references count="3">
          <reference field="2" count="1" selected="0">
            <x v="0"/>
          </reference>
          <reference field="3" count="3">
            <x v="3"/>
            <x v="9"/>
            <x v="13"/>
          </reference>
          <reference field="4" count="1" selected="0">
            <x v="1"/>
          </reference>
        </references>
      </pivotArea>
    </format>
    <format dxfId="123">
      <pivotArea dataOnly="0" labelOnly="1" outline="0" fieldPosition="0">
        <references count="3">
          <reference field="2" count="1" selected="0">
            <x v="1"/>
          </reference>
          <reference field="3" count="2">
            <x v="1"/>
            <x v="10"/>
          </reference>
          <reference field="4" count="1" selected="0">
            <x v="1"/>
          </reference>
        </references>
      </pivotArea>
    </format>
    <format dxfId="122">
      <pivotArea dataOnly="0" labelOnly="1" outline="0" fieldPosition="0">
        <references count="3">
          <reference field="2" count="1" selected="0">
            <x v="2"/>
          </reference>
          <reference field="3" count="5">
            <x v="2"/>
            <x v="4"/>
            <x v="11"/>
            <x v="12"/>
            <x v="14"/>
          </reference>
          <reference field="4" count="1" selected="0">
            <x v="1"/>
          </reference>
        </references>
      </pivotArea>
    </format>
    <format dxfId="121">
      <pivotArea dataOnly="0" labelOnly="1" outline="0" fieldPosition="0">
        <references count="3">
          <reference field="2" count="1" selected="0">
            <x v="3"/>
          </reference>
          <reference field="3" count="1">
            <x v="5"/>
          </reference>
          <reference field="4" count="1" selected="0">
            <x v="1"/>
          </reference>
        </references>
      </pivotArea>
    </format>
    <format dxfId="120">
      <pivotArea dataOnly="0" labelOnly="1" outline="0" fieldPosition="0">
        <references count="3">
          <reference field="2" count="1" selected="0">
            <x v="4"/>
          </reference>
          <reference field="3" count="2">
            <x v="6"/>
            <x v="7"/>
          </reference>
          <reference field="4" count="1" selected="0">
            <x v="1"/>
          </reference>
        </references>
      </pivotArea>
    </format>
    <format dxfId="119">
      <pivotArea dataOnly="0" labelOnly="1" outline="0" fieldPosition="0">
        <references count="3">
          <reference field="2" count="1" selected="0">
            <x v="0"/>
          </reference>
          <reference field="3" count="3">
            <x v="3"/>
            <x v="9"/>
            <x v="13"/>
          </reference>
          <reference field="4" count="1" selected="0">
            <x v="2"/>
          </reference>
        </references>
      </pivotArea>
    </format>
    <format dxfId="118">
      <pivotArea dataOnly="0" labelOnly="1" outline="0" fieldPosition="0">
        <references count="3">
          <reference field="2" count="1" selected="0">
            <x v="1"/>
          </reference>
          <reference field="3" count="2">
            <x v="0"/>
            <x v="10"/>
          </reference>
          <reference field="4" count="1" selected="0">
            <x v="2"/>
          </reference>
        </references>
      </pivotArea>
    </format>
    <format dxfId="117">
      <pivotArea dataOnly="0" labelOnly="1" outline="0" fieldPosition="0">
        <references count="3">
          <reference field="2" count="1" selected="0">
            <x v="2"/>
          </reference>
          <reference field="3" count="3">
            <x v="4"/>
            <x v="11"/>
            <x v="12"/>
          </reference>
          <reference field="4" count="1" selected="0">
            <x v="2"/>
          </reference>
        </references>
      </pivotArea>
    </format>
    <format dxfId="116">
      <pivotArea dataOnly="0" labelOnly="1" outline="0" fieldPosition="0">
        <references count="3">
          <reference field="2" count="1" selected="0">
            <x v="4"/>
          </reference>
          <reference field="3" count="1">
            <x v="6"/>
          </reference>
          <reference field="4" count="1" selected="0">
            <x v="2"/>
          </reference>
        </references>
      </pivotArea>
    </format>
    <format dxfId="115">
      <pivotArea dataOnly="0" labelOnly="1" outline="0" fieldPosition="0">
        <references count="3">
          <reference field="2" count="1" selected="0">
            <x v="0"/>
          </reference>
          <reference field="3" count="2">
            <x v="8"/>
            <x v="13"/>
          </reference>
          <reference field="4" count="1" selected="0">
            <x v="3"/>
          </reference>
        </references>
      </pivotArea>
    </format>
    <format dxfId="114">
      <pivotArea dataOnly="0" labelOnly="1" outline="0" fieldPosition="0">
        <references count="3">
          <reference field="2" count="1" selected="0">
            <x v="2"/>
          </reference>
          <reference field="3" count="2">
            <x v="4"/>
            <x v="11"/>
          </reference>
          <reference field="4" count="1" selected="0">
            <x v="3"/>
          </reference>
        </references>
      </pivotArea>
    </format>
    <format dxfId="113">
      <pivotArea dataOnly="0" labelOnly="1" outline="0" fieldPosition="0">
        <references count="3">
          <reference field="2" count="1" selected="0">
            <x v="0"/>
          </reference>
          <reference field="3" count="1">
            <x v="13"/>
          </reference>
          <reference field="4" count="1" selected="0">
            <x v="4"/>
          </reference>
        </references>
      </pivotArea>
    </format>
    <format dxfId="112">
      <pivotArea dataOnly="0" labelOnly="1" outline="0" fieldPosition="0">
        <references count="3">
          <reference field="2" count="1" selected="0">
            <x v="1"/>
          </reference>
          <reference field="3" count="1">
            <x v="0"/>
          </reference>
          <reference field="4" count="1" selected="0">
            <x v="4"/>
          </reference>
        </references>
      </pivotArea>
    </format>
    <format dxfId="111">
      <pivotArea dataOnly="0" labelOnly="1" outline="0" fieldPosition="0">
        <references count="3">
          <reference field="2" count="1" selected="0">
            <x v="2"/>
          </reference>
          <reference field="3" count="1">
            <x v="12"/>
          </reference>
          <reference field="4" count="1" selected="0">
            <x v="4"/>
          </reference>
        </references>
      </pivotArea>
    </format>
    <format dxfId="110">
      <pivotArea dataOnly="0" labelOnly="1" outline="0" fieldPosition="0">
        <references count="3">
          <reference field="2" count="1" selected="0">
            <x v="0"/>
          </reference>
          <reference field="3" count="3">
            <x v="3"/>
            <x v="9"/>
            <x v="13"/>
          </reference>
          <reference field="4" count="1" selected="0">
            <x v="5"/>
          </reference>
        </references>
      </pivotArea>
    </format>
    <format dxfId="109">
      <pivotArea dataOnly="0" labelOnly="1" outline="0" fieldPosition="0">
        <references count="3">
          <reference field="2" count="1" selected="0">
            <x v="1"/>
          </reference>
          <reference field="3" count="2">
            <x v="0"/>
            <x v="10"/>
          </reference>
          <reference field="4" count="1" selected="0">
            <x v="5"/>
          </reference>
        </references>
      </pivotArea>
    </format>
    <format dxfId="108">
      <pivotArea dataOnly="0" labelOnly="1" outline="0" fieldPosition="0">
        <references count="3">
          <reference field="2" count="1" selected="0">
            <x v="2"/>
          </reference>
          <reference field="3" count="2">
            <x v="11"/>
            <x v="14"/>
          </reference>
          <reference field="4" count="1" selected="0">
            <x v="5"/>
          </reference>
        </references>
      </pivotArea>
    </format>
    <format dxfId="107">
      <pivotArea dataOnly="0" labelOnly="1" outline="0" fieldPosition="0">
        <references count="3">
          <reference field="2" count="1" selected="0">
            <x v="3"/>
          </reference>
          <reference field="3" count="1">
            <x v="5"/>
          </reference>
          <reference field="4" count="1" selected="0">
            <x v="5"/>
          </reference>
        </references>
      </pivotArea>
    </format>
    <format dxfId="106">
      <pivotArea dataOnly="0" labelOnly="1" outline="0" fieldPosition="0">
        <references count="3">
          <reference field="2" count="1" selected="0">
            <x v="4"/>
          </reference>
          <reference field="3" count="1">
            <x v="6"/>
          </reference>
          <reference field="4" count="1" selected="0">
            <x v="5"/>
          </reference>
        </references>
      </pivotArea>
    </format>
    <format dxfId="105">
      <pivotArea dataOnly="0" labelOnly="1" outline="0" fieldPosition="0">
        <references count="4">
          <reference field="1" count="2">
            <x v="10"/>
            <x v="26"/>
          </reference>
          <reference field="2" count="1" selected="0">
            <x v="4"/>
          </reference>
          <reference field="3" count="1" selected="0">
            <x v="6"/>
          </reference>
          <reference field="4" count="1" selected="0">
            <x v="0"/>
          </reference>
        </references>
      </pivotArea>
    </format>
    <format dxfId="104">
      <pivotArea dataOnly="0" labelOnly="1" outline="0" fieldPosition="0">
        <references count="4">
          <reference field="1" count="2">
            <x v="9"/>
            <x v="15"/>
          </reference>
          <reference field="2" count="1" selected="0">
            <x v="0"/>
          </reference>
          <reference field="3" count="1" selected="0">
            <x v="3"/>
          </reference>
          <reference field="4" count="1" selected="0">
            <x v="1"/>
          </reference>
        </references>
      </pivotArea>
    </format>
    <format dxfId="103">
      <pivotArea dataOnly="0" labelOnly="1" outline="0" fieldPosition="0">
        <references count="4">
          <reference field="1" count="1">
            <x v="33"/>
          </reference>
          <reference field="2" count="1" selected="0">
            <x v="0"/>
          </reference>
          <reference field="3" count="1" selected="0">
            <x v="9"/>
          </reference>
          <reference field="4" count="1" selected="0">
            <x v="1"/>
          </reference>
        </references>
      </pivotArea>
    </format>
    <format dxfId="102">
      <pivotArea dataOnly="0" labelOnly="1" outline="0" fieldPosition="0">
        <references count="4">
          <reference field="1" count="1">
            <x v="30"/>
          </reference>
          <reference field="2" count="1" selected="0">
            <x v="0"/>
          </reference>
          <reference field="3" count="1" selected="0">
            <x v="13"/>
          </reference>
          <reference field="4" count="1" selected="0">
            <x v="1"/>
          </reference>
        </references>
      </pivotArea>
    </format>
    <format dxfId="101">
      <pivotArea dataOnly="0" labelOnly="1" outline="0" fieldPosition="0">
        <references count="4">
          <reference field="1" count="2">
            <x v="6"/>
            <x v="19"/>
          </reference>
          <reference field="2" count="1" selected="0">
            <x v="1"/>
          </reference>
          <reference field="3" count="1" selected="0">
            <x v="1"/>
          </reference>
          <reference field="4" count="1" selected="0">
            <x v="1"/>
          </reference>
        </references>
      </pivotArea>
    </format>
    <format dxfId="100">
      <pivotArea dataOnly="0" labelOnly="1" outline="0" fieldPosition="0">
        <references count="4">
          <reference field="1" count="1">
            <x v="4"/>
          </reference>
          <reference field="2" count="1" selected="0">
            <x v="1"/>
          </reference>
          <reference field="3" count="1" selected="0">
            <x v="10"/>
          </reference>
          <reference field="4" count="1" selected="0">
            <x v="1"/>
          </reference>
        </references>
      </pivotArea>
    </format>
    <format dxfId="99">
      <pivotArea dataOnly="0" labelOnly="1" outline="0" fieldPosition="0">
        <references count="4">
          <reference field="1" count="1">
            <x v="37"/>
          </reference>
          <reference field="2" count="1" selected="0">
            <x v="2"/>
          </reference>
          <reference field="3" count="1" selected="0">
            <x v="2"/>
          </reference>
          <reference field="4" count="1" selected="0">
            <x v="1"/>
          </reference>
        </references>
      </pivotArea>
    </format>
    <format dxfId="98">
      <pivotArea dataOnly="0" labelOnly="1" outline="0" fieldPosition="0">
        <references count="4">
          <reference field="1" count="1">
            <x v="21"/>
          </reference>
          <reference field="2" count="1" selected="0">
            <x v="2"/>
          </reference>
          <reference field="3" count="1" selected="0">
            <x v="4"/>
          </reference>
          <reference field="4" count="1" selected="0">
            <x v="1"/>
          </reference>
        </references>
      </pivotArea>
    </format>
    <format dxfId="97">
      <pivotArea dataOnly="0" labelOnly="1" outline="0" fieldPosition="0">
        <references count="4">
          <reference field="1" count="7">
            <x v="3"/>
            <x v="14"/>
            <x v="16"/>
            <x v="23"/>
            <x v="28"/>
            <x v="32"/>
            <x v="39"/>
          </reference>
          <reference field="2" count="1" selected="0">
            <x v="2"/>
          </reference>
          <reference field="3" count="1" selected="0">
            <x v="11"/>
          </reference>
          <reference field="4" count="1" selected="0">
            <x v="1"/>
          </reference>
        </references>
      </pivotArea>
    </format>
    <format dxfId="96">
      <pivotArea dataOnly="0" labelOnly="1" outline="0" fieldPosition="0">
        <references count="4">
          <reference field="1" count="3">
            <x v="1"/>
            <x v="18"/>
            <x v="31"/>
          </reference>
          <reference field="2" count="1" selected="0">
            <x v="2"/>
          </reference>
          <reference field="3" count="1" selected="0">
            <x v="12"/>
          </reference>
          <reference field="4" count="1" selected="0">
            <x v="1"/>
          </reference>
        </references>
      </pivotArea>
    </format>
    <format dxfId="95">
      <pivotArea dataOnly="0" labelOnly="1" outline="0" fieldPosition="0">
        <references count="4">
          <reference field="1" count="4">
            <x v="0"/>
            <x v="12"/>
            <x v="29"/>
            <x v="35"/>
          </reference>
          <reference field="2" count="1" selected="0">
            <x v="2"/>
          </reference>
          <reference field="3" count="1" selected="0">
            <x v="14"/>
          </reference>
          <reference field="4" count="1" selected="0">
            <x v="1"/>
          </reference>
        </references>
      </pivotArea>
    </format>
    <format dxfId="94">
      <pivotArea dataOnly="0" labelOnly="1" outline="0" fieldPosition="0">
        <references count="4">
          <reference field="1" count="1">
            <x v="20"/>
          </reference>
          <reference field="2" count="1" selected="0">
            <x v="3"/>
          </reference>
          <reference field="3" count="1" selected="0">
            <x v="5"/>
          </reference>
          <reference field="4" count="1" selected="0">
            <x v="1"/>
          </reference>
        </references>
      </pivotArea>
    </format>
    <format dxfId="93">
      <pivotArea dataOnly="0" labelOnly="1" outline="0" fieldPosition="0">
        <references count="4">
          <reference field="1" count="1">
            <x v="26"/>
          </reference>
          <reference field="2" count="1" selected="0">
            <x v="4"/>
          </reference>
          <reference field="3" count="1" selected="0">
            <x v="6"/>
          </reference>
          <reference field="4" count="1" selected="0">
            <x v="1"/>
          </reference>
        </references>
      </pivotArea>
    </format>
    <format dxfId="92">
      <pivotArea dataOnly="0" labelOnly="1" outline="0" fieldPosition="0">
        <references count="4">
          <reference field="1" count="1">
            <x v="25"/>
          </reference>
          <reference field="2" count="1" selected="0">
            <x v="4"/>
          </reference>
          <reference field="3" count="1" selected="0">
            <x v="7"/>
          </reference>
          <reference field="4" count="1" selected="0">
            <x v="1"/>
          </reference>
        </references>
      </pivotArea>
    </format>
    <format dxfId="91">
      <pivotArea dataOnly="0" labelOnly="1" outline="0" fieldPosition="0">
        <references count="4">
          <reference field="1" count="1">
            <x v="15"/>
          </reference>
          <reference field="2" count="1" selected="0">
            <x v="0"/>
          </reference>
          <reference field="3" count="1" selected="0">
            <x v="3"/>
          </reference>
          <reference field="4" count="1" selected="0">
            <x v="2"/>
          </reference>
        </references>
      </pivotArea>
    </format>
    <format dxfId="90">
      <pivotArea dataOnly="0" labelOnly="1" outline="0" fieldPosition="0">
        <references count="4">
          <reference field="1" count="1">
            <x v="22"/>
          </reference>
          <reference field="2" count="1" selected="0">
            <x v="0"/>
          </reference>
          <reference field="3" count="1" selected="0">
            <x v="9"/>
          </reference>
          <reference field="4" count="1" selected="0">
            <x v="2"/>
          </reference>
        </references>
      </pivotArea>
    </format>
    <format dxfId="89">
      <pivotArea dataOnly="0" labelOnly="1" outline="0" fieldPosition="0">
        <references count="4">
          <reference field="1" count="1">
            <x v="13"/>
          </reference>
          <reference field="2" count="1" selected="0">
            <x v="0"/>
          </reference>
          <reference field="3" count="1" selected="0">
            <x v="13"/>
          </reference>
          <reference field="4" count="1" selected="0">
            <x v="2"/>
          </reference>
        </references>
      </pivotArea>
    </format>
    <format dxfId="88">
      <pivotArea dataOnly="0" labelOnly="1" outline="0" fieldPosition="0">
        <references count="4">
          <reference field="1" count="1">
            <x v="8"/>
          </reference>
          <reference field="2" count="1" selected="0">
            <x v="1"/>
          </reference>
          <reference field="3" count="1" selected="0">
            <x v="0"/>
          </reference>
          <reference field="4" count="1" selected="0">
            <x v="2"/>
          </reference>
        </references>
      </pivotArea>
    </format>
    <format dxfId="87">
      <pivotArea dataOnly="0" labelOnly="1" outline="0" fieldPosition="0">
        <references count="4">
          <reference field="1" count="2">
            <x v="5"/>
            <x v="27"/>
          </reference>
          <reference field="2" count="1" selected="0">
            <x v="1"/>
          </reference>
          <reference field="3" count="1" selected="0">
            <x v="10"/>
          </reference>
          <reference field="4" count="1" selected="0">
            <x v="2"/>
          </reference>
        </references>
      </pivotArea>
    </format>
    <format dxfId="86">
      <pivotArea dataOnly="0" labelOnly="1" outline="0" fieldPosition="0">
        <references count="4">
          <reference field="1" count="1">
            <x v="21"/>
          </reference>
          <reference field="2" count="1" selected="0">
            <x v="2"/>
          </reference>
          <reference field="3" count="1" selected="0">
            <x v="4"/>
          </reference>
          <reference field="4" count="1" selected="0">
            <x v="2"/>
          </reference>
        </references>
      </pivotArea>
    </format>
    <format dxfId="85">
      <pivotArea dataOnly="0" labelOnly="1" outline="0" fieldPosition="0">
        <references count="4">
          <reference field="1" count="4">
            <x v="3"/>
            <x v="14"/>
            <x v="32"/>
            <x v="39"/>
          </reference>
          <reference field="2" count="1" selected="0">
            <x v="2"/>
          </reference>
          <reference field="3" count="1" selected="0">
            <x v="11"/>
          </reference>
          <reference field="4" count="1" selected="0">
            <x v="2"/>
          </reference>
        </references>
      </pivotArea>
    </format>
    <format dxfId="84">
      <pivotArea dataOnly="0" labelOnly="1" outline="0" fieldPosition="0">
        <references count="4">
          <reference field="1" count="1">
            <x v="2"/>
          </reference>
          <reference field="2" count="1" selected="0">
            <x v="2"/>
          </reference>
          <reference field="3" count="1" selected="0">
            <x v="12"/>
          </reference>
          <reference field="4" count="1" selected="0">
            <x v="2"/>
          </reference>
        </references>
      </pivotArea>
    </format>
    <format dxfId="83">
      <pivotArea dataOnly="0" labelOnly="1" outline="0" fieldPosition="0">
        <references count="4">
          <reference field="1" count="1">
            <x v="26"/>
          </reference>
          <reference field="2" count="1" selected="0">
            <x v="4"/>
          </reference>
          <reference field="3" count="1" selected="0">
            <x v="6"/>
          </reference>
          <reference field="4" count="1" selected="0">
            <x v="2"/>
          </reference>
        </references>
      </pivotArea>
    </format>
    <format dxfId="82">
      <pivotArea dataOnly="0" labelOnly="1" outline="0" fieldPosition="0">
        <references count="4">
          <reference field="1" count="1">
            <x v="11"/>
          </reference>
          <reference field="2" count="1" selected="0">
            <x v="0"/>
          </reference>
          <reference field="3" count="1" selected="0">
            <x v="8"/>
          </reference>
          <reference field="4" count="1" selected="0">
            <x v="3"/>
          </reference>
        </references>
      </pivotArea>
    </format>
    <format dxfId="81">
      <pivotArea dataOnly="0" labelOnly="1" outline="0" fieldPosition="0">
        <references count="4">
          <reference field="1" count="1">
            <x v="13"/>
          </reference>
          <reference field="2" count="1" selected="0">
            <x v="0"/>
          </reference>
          <reference field="3" count="1" selected="0">
            <x v="13"/>
          </reference>
          <reference field="4" count="1" selected="0">
            <x v="3"/>
          </reference>
        </references>
      </pivotArea>
    </format>
    <format dxfId="80">
      <pivotArea dataOnly="0" labelOnly="1" outline="0" fieldPosition="0">
        <references count="4">
          <reference field="1" count="1">
            <x v="21"/>
          </reference>
          <reference field="2" count="1" selected="0">
            <x v="2"/>
          </reference>
          <reference field="3" count="1" selected="0">
            <x v="4"/>
          </reference>
          <reference field="4" count="1" selected="0">
            <x v="3"/>
          </reference>
        </references>
      </pivotArea>
    </format>
    <format dxfId="79">
      <pivotArea dataOnly="0" labelOnly="1" outline="0" fieldPosition="0">
        <references count="4">
          <reference field="1" count="2">
            <x v="16"/>
            <x v="39"/>
          </reference>
          <reference field="2" count="1" selected="0">
            <x v="2"/>
          </reference>
          <reference field="3" count="1" selected="0">
            <x v="11"/>
          </reference>
          <reference field="4" count="1" selected="0">
            <x v="3"/>
          </reference>
        </references>
      </pivotArea>
    </format>
    <format dxfId="78">
      <pivotArea dataOnly="0" labelOnly="1" outline="0" fieldPosition="0">
        <references count="4">
          <reference field="1" count="1">
            <x v="13"/>
          </reference>
          <reference field="2" count="1" selected="0">
            <x v="0"/>
          </reference>
          <reference field="3" count="1" selected="0">
            <x v="13"/>
          </reference>
          <reference field="4" count="1" selected="0">
            <x v="4"/>
          </reference>
        </references>
      </pivotArea>
    </format>
    <format dxfId="77">
      <pivotArea dataOnly="0" labelOnly="1" outline="0" fieldPosition="0">
        <references count="4">
          <reference field="1" count="1">
            <x v="8"/>
          </reference>
          <reference field="2" count="1" selected="0">
            <x v="1"/>
          </reference>
          <reference field="3" count="1" selected="0">
            <x v="0"/>
          </reference>
          <reference field="4" count="1" selected="0">
            <x v="4"/>
          </reference>
        </references>
      </pivotArea>
    </format>
    <format dxfId="76">
      <pivotArea dataOnly="0" labelOnly="1" outline="0" fieldPosition="0">
        <references count="4">
          <reference field="1" count="1">
            <x v="24"/>
          </reference>
          <reference field="2" count="1" selected="0">
            <x v="2"/>
          </reference>
          <reference field="3" count="1" selected="0">
            <x v="12"/>
          </reference>
          <reference field="4" count="1" selected="0">
            <x v="4"/>
          </reference>
        </references>
      </pivotArea>
    </format>
    <format dxfId="75">
      <pivotArea dataOnly="0" labelOnly="1" outline="0" fieldPosition="0">
        <references count="4">
          <reference field="1" count="1">
            <x v="17"/>
          </reference>
          <reference field="2" count="1" selected="0">
            <x v="0"/>
          </reference>
          <reference field="3" count="1" selected="0">
            <x v="3"/>
          </reference>
          <reference field="4" count="1" selected="0">
            <x v="5"/>
          </reference>
        </references>
      </pivotArea>
    </format>
    <format dxfId="74">
      <pivotArea dataOnly="0" labelOnly="1" outline="0" fieldPosition="0">
        <references count="4">
          <reference field="1" count="1">
            <x v="22"/>
          </reference>
          <reference field="2" count="1" selected="0">
            <x v="0"/>
          </reference>
          <reference field="3" count="1" selected="0">
            <x v="9"/>
          </reference>
          <reference field="4" count="1" selected="0">
            <x v="5"/>
          </reference>
        </references>
      </pivotArea>
    </format>
    <format dxfId="73">
      <pivotArea dataOnly="0" labelOnly="1" outline="0" fieldPosition="0">
        <references count="4">
          <reference field="1" count="2">
            <x v="13"/>
            <x v="30"/>
          </reference>
          <reference field="2" count="1" selected="0">
            <x v="0"/>
          </reference>
          <reference field="3" count="1" selected="0">
            <x v="13"/>
          </reference>
          <reference field="4" count="1" selected="0">
            <x v="5"/>
          </reference>
        </references>
      </pivotArea>
    </format>
    <format dxfId="72">
      <pivotArea dataOnly="0" labelOnly="1" outline="0" fieldPosition="0">
        <references count="4">
          <reference field="1" count="1">
            <x v="7"/>
          </reference>
          <reference field="2" count="1" selected="0">
            <x v="1"/>
          </reference>
          <reference field="3" count="1" selected="0">
            <x v="0"/>
          </reference>
          <reference field="4" count="1" selected="0">
            <x v="5"/>
          </reference>
        </references>
      </pivotArea>
    </format>
    <format dxfId="71">
      <pivotArea dataOnly="0" labelOnly="1" outline="0" fieldPosition="0">
        <references count="4">
          <reference field="1" count="3">
            <x v="4"/>
            <x v="27"/>
            <x v="36"/>
          </reference>
          <reference field="2" count="1" selected="0">
            <x v="1"/>
          </reference>
          <reference field="3" count="1" selected="0">
            <x v="10"/>
          </reference>
          <reference field="4" count="1" selected="0">
            <x v="5"/>
          </reference>
        </references>
      </pivotArea>
    </format>
    <format dxfId="70">
      <pivotArea dataOnly="0" labelOnly="1" outline="0" fieldPosition="0">
        <references count="4">
          <reference field="1" count="1">
            <x v="32"/>
          </reference>
          <reference field="2" count="1" selected="0">
            <x v="2"/>
          </reference>
          <reference field="3" count="1" selected="0">
            <x v="11"/>
          </reference>
          <reference field="4" count="1" selected="0">
            <x v="5"/>
          </reference>
        </references>
      </pivotArea>
    </format>
    <format dxfId="69">
      <pivotArea dataOnly="0" labelOnly="1" outline="0" fieldPosition="0">
        <references count="4">
          <reference field="1" count="1">
            <x v="12"/>
          </reference>
          <reference field="2" count="1" selected="0">
            <x v="2"/>
          </reference>
          <reference field="3" count="1" selected="0">
            <x v="14"/>
          </reference>
          <reference field="4" count="1" selected="0">
            <x v="5"/>
          </reference>
        </references>
      </pivotArea>
    </format>
    <format dxfId="68">
      <pivotArea dataOnly="0" labelOnly="1" outline="0" fieldPosition="0">
        <references count="4">
          <reference field="1" count="1">
            <x v="34"/>
          </reference>
          <reference field="2" count="1" selected="0">
            <x v="3"/>
          </reference>
          <reference field="3" count="1" selected="0">
            <x v="5"/>
          </reference>
          <reference field="4" count="1" selected="0">
            <x v="5"/>
          </reference>
        </references>
      </pivotArea>
    </format>
    <format dxfId="67">
      <pivotArea dataOnly="0" labelOnly="1" outline="0" fieldPosition="0">
        <references count="4">
          <reference field="1" count="1">
            <x v="38"/>
          </reference>
          <reference field="2" count="1" selected="0">
            <x v="4"/>
          </reference>
          <reference field="3" count="1" selected="0">
            <x v="6"/>
          </reference>
          <reference field="4" count="1" selected="0">
            <x v="5"/>
          </reference>
        </references>
      </pivotArea>
    </format>
    <format dxfId="66">
      <pivotArea dataOnly="0" labelOnly="1" outline="0" fieldPosition="0">
        <references count="1">
          <reference field="4" count="1">
            <x v="0"/>
          </reference>
        </references>
      </pivotArea>
    </format>
    <format dxfId="65">
      <pivotArea dataOnly="0" labelOnly="1" outline="0" fieldPosition="0">
        <references count="2">
          <reference field="2" count="1">
            <x v="4"/>
          </reference>
          <reference field="4" count="1" selected="0">
            <x v="0"/>
          </reference>
        </references>
      </pivotArea>
    </format>
    <format dxfId="64">
      <pivotArea dataOnly="0" labelOnly="1" outline="0" fieldPosition="0">
        <references count="3">
          <reference field="2" count="1" selected="0">
            <x v="4"/>
          </reference>
          <reference field="3" count="1">
            <x v="6"/>
          </reference>
          <reference field="4" count="1" selected="0">
            <x v="0"/>
          </reference>
        </references>
      </pivotArea>
    </format>
    <format dxfId="63">
      <pivotArea dataOnly="0" labelOnly="1" outline="0" fieldPosition="0">
        <references count="4">
          <reference field="1" count="2">
            <x v="10"/>
            <x v="26"/>
          </reference>
          <reference field="2" count="1" selected="0">
            <x v="4"/>
          </reference>
          <reference field="3" count="1" selected="0">
            <x v="6"/>
          </reference>
          <reference field="4" count="1" selected="0">
            <x v="0"/>
          </reference>
        </references>
      </pivotArea>
    </format>
    <format dxfId="62">
      <pivotArea dataOnly="0" labelOnly="1" outline="0" fieldPosition="0">
        <references count="1">
          <reference field="4" count="1">
            <x v="1"/>
          </reference>
        </references>
      </pivotArea>
    </format>
    <format dxfId="61">
      <pivotArea dataOnly="0" labelOnly="1" outline="0" fieldPosition="0">
        <references count="2">
          <reference field="2" count="0"/>
          <reference field="4" count="1" selected="0">
            <x v="1"/>
          </reference>
        </references>
      </pivotArea>
    </format>
    <format dxfId="60">
      <pivotArea dataOnly="0" labelOnly="1" outline="0" fieldPosition="0">
        <references count="3">
          <reference field="2" count="1" selected="0">
            <x v="0"/>
          </reference>
          <reference field="3" count="3">
            <x v="3"/>
            <x v="9"/>
            <x v="13"/>
          </reference>
          <reference field="4" count="1" selected="0">
            <x v="1"/>
          </reference>
        </references>
      </pivotArea>
    </format>
    <format dxfId="59">
      <pivotArea dataOnly="0" labelOnly="1" outline="0" fieldPosition="0">
        <references count="3">
          <reference field="2" count="1" selected="0">
            <x v="1"/>
          </reference>
          <reference field="3" count="2">
            <x v="1"/>
            <x v="10"/>
          </reference>
          <reference field="4" count="1" selected="0">
            <x v="1"/>
          </reference>
        </references>
      </pivotArea>
    </format>
    <format dxfId="58">
      <pivotArea dataOnly="0" labelOnly="1" outline="0" fieldPosition="0">
        <references count="3">
          <reference field="2" count="1" selected="0">
            <x v="2"/>
          </reference>
          <reference field="3" count="5">
            <x v="2"/>
            <x v="4"/>
            <x v="11"/>
            <x v="12"/>
            <x v="14"/>
          </reference>
          <reference field="4" count="1" selected="0">
            <x v="1"/>
          </reference>
        </references>
      </pivotArea>
    </format>
    <format dxfId="57">
      <pivotArea dataOnly="0" labelOnly="1" outline="0" fieldPosition="0">
        <references count="3">
          <reference field="2" count="1" selected="0">
            <x v="3"/>
          </reference>
          <reference field="3" count="1">
            <x v="5"/>
          </reference>
          <reference field="4" count="1" selected="0">
            <x v="1"/>
          </reference>
        </references>
      </pivotArea>
    </format>
    <format dxfId="56">
      <pivotArea dataOnly="0" labelOnly="1" outline="0" fieldPosition="0">
        <references count="3">
          <reference field="2" count="1" selected="0">
            <x v="4"/>
          </reference>
          <reference field="3" count="2">
            <x v="6"/>
            <x v="7"/>
          </reference>
          <reference field="4" count="1" selected="0">
            <x v="1"/>
          </reference>
        </references>
      </pivotArea>
    </format>
    <format dxfId="55">
      <pivotArea dataOnly="0" labelOnly="1" outline="0" fieldPosition="0">
        <references count="4">
          <reference field="1" count="2">
            <x v="9"/>
            <x v="15"/>
          </reference>
          <reference field="2" count="1" selected="0">
            <x v="0"/>
          </reference>
          <reference field="3" count="1" selected="0">
            <x v="3"/>
          </reference>
          <reference field="4" count="1" selected="0">
            <x v="1"/>
          </reference>
        </references>
      </pivotArea>
    </format>
    <format dxfId="54">
      <pivotArea dataOnly="0" labelOnly="1" outline="0" fieldPosition="0">
        <references count="4">
          <reference field="1" count="1">
            <x v="33"/>
          </reference>
          <reference field="2" count="1" selected="0">
            <x v="0"/>
          </reference>
          <reference field="3" count="1" selected="0">
            <x v="9"/>
          </reference>
          <reference field="4" count="1" selected="0">
            <x v="1"/>
          </reference>
        </references>
      </pivotArea>
    </format>
    <format dxfId="53">
      <pivotArea dataOnly="0" labelOnly="1" outline="0" fieldPosition="0">
        <references count="4">
          <reference field="1" count="1">
            <x v="30"/>
          </reference>
          <reference field="2" count="1" selected="0">
            <x v="0"/>
          </reference>
          <reference field="3" count="1" selected="0">
            <x v="13"/>
          </reference>
          <reference field="4" count="1" selected="0">
            <x v="1"/>
          </reference>
        </references>
      </pivotArea>
    </format>
    <format dxfId="52">
      <pivotArea dataOnly="0" labelOnly="1" outline="0" fieldPosition="0">
        <references count="4">
          <reference field="1" count="2">
            <x v="6"/>
            <x v="19"/>
          </reference>
          <reference field="2" count="1" selected="0">
            <x v="1"/>
          </reference>
          <reference field="3" count="1" selected="0">
            <x v="1"/>
          </reference>
          <reference field="4" count="1" selected="0">
            <x v="1"/>
          </reference>
        </references>
      </pivotArea>
    </format>
    <format dxfId="51">
      <pivotArea dataOnly="0" labelOnly="1" outline="0" fieldPosition="0">
        <references count="4">
          <reference field="1" count="1">
            <x v="4"/>
          </reference>
          <reference field="2" count="1" selected="0">
            <x v="1"/>
          </reference>
          <reference field="3" count="1" selected="0">
            <x v="10"/>
          </reference>
          <reference field="4" count="1" selected="0">
            <x v="1"/>
          </reference>
        </references>
      </pivotArea>
    </format>
    <format dxfId="50">
      <pivotArea dataOnly="0" labelOnly="1" outline="0" fieldPosition="0">
        <references count="4">
          <reference field="1" count="1">
            <x v="37"/>
          </reference>
          <reference field="2" count="1" selected="0">
            <x v="2"/>
          </reference>
          <reference field="3" count="1" selected="0">
            <x v="2"/>
          </reference>
          <reference field="4" count="1" selected="0">
            <x v="1"/>
          </reference>
        </references>
      </pivotArea>
    </format>
    <format dxfId="49">
      <pivotArea dataOnly="0" labelOnly="1" outline="0" fieldPosition="0">
        <references count="4">
          <reference field="1" count="1">
            <x v="21"/>
          </reference>
          <reference field="2" count="1" selected="0">
            <x v="2"/>
          </reference>
          <reference field="3" count="1" selected="0">
            <x v="4"/>
          </reference>
          <reference field="4" count="1" selected="0">
            <x v="1"/>
          </reference>
        </references>
      </pivotArea>
    </format>
    <format dxfId="48">
      <pivotArea dataOnly="0" labelOnly="1" outline="0" fieldPosition="0">
        <references count="4">
          <reference field="1" count="7">
            <x v="3"/>
            <x v="14"/>
            <x v="16"/>
            <x v="23"/>
            <x v="28"/>
            <x v="32"/>
            <x v="39"/>
          </reference>
          <reference field="2" count="1" selected="0">
            <x v="2"/>
          </reference>
          <reference field="3" count="1" selected="0">
            <x v="11"/>
          </reference>
          <reference field="4" count="1" selected="0">
            <x v="1"/>
          </reference>
        </references>
      </pivotArea>
    </format>
    <format dxfId="47">
      <pivotArea dataOnly="0" labelOnly="1" outline="0" fieldPosition="0">
        <references count="4">
          <reference field="1" count="3">
            <x v="1"/>
            <x v="18"/>
            <x v="31"/>
          </reference>
          <reference field="2" count="1" selected="0">
            <x v="2"/>
          </reference>
          <reference field="3" count="1" selected="0">
            <x v="12"/>
          </reference>
          <reference field="4" count="1" selected="0">
            <x v="1"/>
          </reference>
        </references>
      </pivotArea>
    </format>
    <format dxfId="46">
      <pivotArea dataOnly="0" labelOnly="1" outline="0" fieldPosition="0">
        <references count="4">
          <reference field="1" count="4">
            <x v="0"/>
            <x v="12"/>
            <x v="29"/>
            <x v="35"/>
          </reference>
          <reference field="2" count="1" selected="0">
            <x v="2"/>
          </reference>
          <reference field="3" count="1" selected="0">
            <x v="14"/>
          </reference>
          <reference field="4" count="1" selected="0">
            <x v="1"/>
          </reference>
        </references>
      </pivotArea>
    </format>
    <format dxfId="45">
      <pivotArea dataOnly="0" labelOnly="1" outline="0" fieldPosition="0">
        <references count="4">
          <reference field="1" count="1">
            <x v="20"/>
          </reference>
          <reference field="2" count="1" selected="0">
            <x v="3"/>
          </reference>
          <reference field="3" count="1" selected="0">
            <x v="5"/>
          </reference>
          <reference field="4" count="1" selected="0">
            <x v="1"/>
          </reference>
        </references>
      </pivotArea>
    </format>
    <format dxfId="44">
      <pivotArea dataOnly="0" labelOnly="1" outline="0" fieldPosition="0">
        <references count="4">
          <reference field="1" count="1">
            <x v="26"/>
          </reference>
          <reference field="2" count="1" selected="0">
            <x v="4"/>
          </reference>
          <reference field="3" count="1" selected="0">
            <x v="6"/>
          </reference>
          <reference field="4" count="1" selected="0">
            <x v="1"/>
          </reference>
        </references>
      </pivotArea>
    </format>
    <format dxfId="43">
      <pivotArea dataOnly="0" labelOnly="1" outline="0" fieldPosition="0">
        <references count="4">
          <reference field="1" count="1">
            <x v="25"/>
          </reference>
          <reference field="2" count="1" selected="0">
            <x v="4"/>
          </reference>
          <reference field="3" count="1" selected="0">
            <x v="7"/>
          </reference>
          <reference field="4" count="1" selected="0">
            <x v="1"/>
          </reference>
        </references>
      </pivotArea>
    </format>
    <format dxfId="42">
      <pivotArea field="4" type="button" dataOnly="0" labelOnly="1" outline="0" axis="axisRow" fieldPosition="0"/>
    </format>
    <format dxfId="41">
      <pivotArea dataOnly="0" labelOnly="1" outline="0" fieldPosition="0">
        <references count="1">
          <reference field="4" count="0"/>
        </references>
      </pivotArea>
    </format>
    <format dxfId="40">
      <pivotArea dataOnly="0" labelOnly="1" outline="0" fieldPosition="0">
        <references count="1">
          <reference field="4" count="1">
            <x v="3"/>
          </reference>
        </references>
      </pivotArea>
    </format>
    <format dxfId="39">
      <pivotArea dataOnly="0" labelOnly="1" outline="0" fieldPosition="0">
        <references count="2">
          <reference field="2" count="2">
            <x v="0"/>
            <x v="2"/>
          </reference>
          <reference field="4" count="1" selected="0">
            <x v="3"/>
          </reference>
        </references>
      </pivotArea>
    </format>
    <format dxfId="38">
      <pivotArea dataOnly="0" labelOnly="1" outline="0" fieldPosition="0">
        <references count="3">
          <reference field="2" count="1" selected="0">
            <x v="0"/>
          </reference>
          <reference field="3" count="2">
            <x v="8"/>
            <x v="13"/>
          </reference>
          <reference field="4" count="1" selected="0">
            <x v="3"/>
          </reference>
        </references>
      </pivotArea>
    </format>
    <format dxfId="37">
      <pivotArea dataOnly="0" labelOnly="1" outline="0" fieldPosition="0">
        <references count="3">
          <reference field="2" count="1" selected="0">
            <x v="2"/>
          </reference>
          <reference field="3" count="2">
            <x v="4"/>
            <x v="11"/>
          </reference>
          <reference field="4" count="1" selected="0">
            <x v="3"/>
          </reference>
        </references>
      </pivotArea>
    </format>
    <format dxfId="36">
      <pivotArea dataOnly="0" labelOnly="1" outline="0" fieldPosition="0">
        <references count="4">
          <reference field="1" count="1">
            <x v="11"/>
          </reference>
          <reference field="2" count="1" selected="0">
            <x v="0"/>
          </reference>
          <reference field="3" count="1" selected="0">
            <x v="8"/>
          </reference>
          <reference field="4" count="1" selected="0">
            <x v="3"/>
          </reference>
        </references>
      </pivotArea>
    </format>
    <format dxfId="35">
      <pivotArea dataOnly="0" labelOnly="1" outline="0" fieldPosition="0">
        <references count="4">
          <reference field="1" count="1">
            <x v="13"/>
          </reference>
          <reference field="2" count="1" selected="0">
            <x v="0"/>
          </reference>
          <reference field="3" count="1" selected="0">
            <x v="13"/>
          </reference>
          <reference field="4" count="1" selected="0">
            <x v="3"/>
          </reference>
        </references>
      </pivotArea>
    </format>
    <format dxfId="34">
      <pivotArea dataOnly="0" labelOnly="1" outline="0" fieldPosition="0">
        <references count="4">
          <reference field="1" count="1">
            <x v="21"/>
          </reference>
          <reference field="2" count="1" selected="0">
            <x v="2"/>
          </reference>
          <reference field="3" count="1" selected="0">
            <x v="4"/>
          </reference>
          <reference field="4" count="1" selected="0">
            <x v="3"/>
          </reference>
        </references>
      </pivotArea>
    </format>
    <format dxfId="33">
      <pivotArea dataOnly="0" labelOnly="1" outline="0" fieldPosition="0">
        <references count="4">
          <reference field="1" count="2">
            <x v="16"/>
            <x v="39"/>
          </reference>
          <reference field="2" count="1" selected="0">
            <x v="2"/>
          </reference>
          <reference field="3" count="1" selected="0">
            <x v="11"/>
          </reference>
          <reference field="4" count="1" selected="0">
            <x v="3"/>
          </reference>
        </references>
      </pivotArea>
    </format>
    <format dxfId="32">
      <pivotArea dataOnly="0" labelOnly="1" outline="0" fieldPosition="0">
        <references count="1">
          <reference field="4" count="1">
            <x v="5"/>
          </reference>
        </references>
      </pivotArea>
    </format>
    <format dxfId="31">
      <pivotArea dataOnly="0" labelOnly="1" outline="0" fieldPosition="0">
        <references count="2">
          <reference field="2" count="0"/>
          <reference field="4" count="1" selected="0">
            <x v="5"/>
          </reference>
        </references>
      </pivotArea>
    </format>
    <format dxfId="30">
      <pivotArea dataOnly="0" labelOnly="1" outline="0" fieldPosition="0">
        <references count="3">
          <reference field="2" count="1" selected="0">
            <x v="0"/>
          </reference>
          <reference field="3" count="3">
            <x v="3"/>
            <x v="9"/>
            <x v="13"/>
          </reference>
          <reference field="4" count="1" selected="0">
            <x v="5"/>
          </reference>
        </references>
      </pivotArea>
    </format>
    <format dxfId="29">
      <pivotArea dataOnly="0" labelOnly="1" outline="0" fieldPosition="0">
        <references count="3">
          <reference field="2" count="1" selected="0">
            <x v="1"/>
          </reference>
          <reference field="3" count="2">
            <x v="0"/>
            <x v="10"/>
          </reference>
          <reference field="4" count="1" selected="0">
            <x v="5"/>
          </reference>
        </references>
      </pivotArea>
    </format>
    <format dxfId="28">
      <pivotArea dataOnly="0" labelOnly="1" outline="0" fieldPosition="0">
        <references count="3">
          <reference field="2" count="1" selected="0">
            <x v="2"/>
          </reference>
          <reference field="3" count="2">
            <x v="11"/>
            <x v="14"/>
          </reference>
          <reference field="4" count="1" selected="0">
            <x v="5"/>
          </reference>
        </references>
      </pivotArea>
    </format>
    <format dxfId="27">
      <pivotArea dataOnly="0" labelOnly="1" outline="0" fieldPosition="0">
        <references count="3">
          <reference field="2" count="1" selected="0">
            <x v="3"/>
          </reference>
          <reference field="3" count="1">
            <x v="5"/>
          </reference>
          <reference field="4" count="1" selected="0">
            <x v="5"/>
          </reference>
        </references>
      </pivotArea>
    </format>
    <format dxfId="26">
      <pivotArea dataOnly="0" labelOnly="1" outline="0" fieldPosition="0">
        <references count="3">
          <reference field="2" count="1" selected="0">
            <x v="4"/>
          </reference>
          <reference field="3" count="1">
            <x v="6"/>
          </reference>
          <reference field="4" count="1" selected="0">
            <x v="5"/>
          </reference>
        </references>
      </pivotArea>
    </format>
    <format dxfId="25">
      <pivotArea dataOnly="0" labelOnly="1" outline="0" fieldPosition="0">
        <references count="4">
          <reference field="1" count="1">
            <x v="17"/>
          </reference>
          <reference field="2" count="1" selected="0">
            <x v="0"/>
          </reference>
          <reference field="3" count="1" selected="0">
            <x v="3"/>
          </reference>
          <reference field="4" count="1" selected="0">
            <x v="5"/>
          </reference>
        </references>
      </pivotArea>
    </format>
    <format dxfId="24">
      <pivotArea dataOnly="0" labelOnly="1" outline="0" fieldPosition="0">
        <references count="4">
          <reference field="1" count="1">
            <x v="22"/>
          </reference>
          <reference field="2" count="1" selected="0">
            <x v="0"/>
          </reference>
          <reference field="3" count="1" selected="0">
            <x v="9"/>
          </reference>
          <reference field="4" count="1" selected="0">
            <x v="5"/>
          </reference>
        </references>
      </pivotArea>
    </format>
    <format dxfId="23">
      <pivotArea dataOnly="0" labelOnly="1" outline="0" fieldPosition="0">
        <references count="4">
          <reference field="1" count="2">
            <x v="13"/>
            <x v="30"/>
          </reference>
          <reference field="2" count="1" selected="0">
            <x v="0"/>
          </reference>
          <reference field="3" count="1" selected="0">
            <x v="13"/>
          </reference>
          <reference field="4" count="1" selected="0">
            <x v="5"/>
          </reference>
        </references>
      </pivotArea>
    </format>
    <format dxfId="22">
      <pivotArea dataOnly="0" labelOnly="1" outline="0" fieldPosition="0">
        <references count="4">
          <reference field="1" count="1">
            <x v="7"/>
          </reference>
          <reference field="2" count="1" selected="0">
            <x v="1"/>
          </reference>
          <reference field="3" count="1" selected="0">
            <x v="0"/>
          </reference>
          <reference field="4" count="1" selected="0">
            <x v="5"/>
          </reference>
        </references>
      </pivotArea>
    </format>
    <format dxfId="21">
      <pivotArea dataOnly="0" labelOnly="1" outline="0" fieldPosition="0">
        <references count="4">
          <reference field="1" count="3">
            <x v="4"/>
            <x v="27"/>
            <x v="36"/>
          </reference>
          <reference field="2" count="1" selected="0">
            <x v="1"/>
          </reference>
          <reference field="3" count="1" selected="0">
            <x v="10"/>
          </reference>
          <reference field="4" count="1" selected="0">
            <x v="5"/>
          </reference>
        </references>
      </pivotArea>
    </format>
    <format dxfId="20">
      <pivotArea dataOnly="0" labelOnly="1" outline="0" fieldPosition="0">
        <references count="4">
          <reference field="1" count="1">
            <x v="32"/>
          </reference>
          <reference field="2" count="1" selected="0">
            <x v="2"/>
          </reference>
          <reference field="3" count="1" selected="0">
            <x v="11"/>
          </reference>
          <reference field="4" count="1" selected="0">
            <x v="5"/>
          </reference>
        </references>
      </pivotArea>
    </format>
    <format dxfId="19">
      <pivotArea dataOnly="0" labelOnly="1" outline="0" fieldPosition="0">
        <references count="4">
          <reference field="1" count="1">
            <x v="12"/>
          </reference>
          <reference field="2" count="1" selected="0">
            <x v="2"/>
          </reference>
          <reference field="3" count="1" selected="0">
            <x v="14"/>
          </reference>
          <reference field="4" count="1" selected="0">
            <x v="5"/>
          </reference>
        </references>
      </pivotArea>
    </format>
    <format dxfId="18">
      <pivotArea dataOnly="0" labelOnly="1" outline="0" fieldPosition="0">
        <references count="4">
          <reference field="1" count="1">
            <x v="34"/>
          </reference>
          <reference field="2" count="1" selected="0">
            <x v="3"/>
          </reference>
          <reference field="3" count="1" selected="0">
            <x v="5"/>
          </reference>
          <reference field="4" count="1" selected="0">
            <x v="5"/>
          </reference>
        </references>
      </pivotArea>
    </format>
    <format dxfId="17">
      <pivotArea dataOnly="0" labelOnly="1" outline="0" fieldPosition="0">
        <references count="4">
          <reference field="1" count="1">
            <x v="38"/>
          </reference>
          <reference field="2" count="1" selected="0">
            <x v="4"/>
          </reference>
          <reference field="3" count="1" selected="0">
            <x v="6"/>
          </reference>
          <reference field="4" count="1" selected="0">
            <x v="5"/>
          </reference>
        </references>
      </pivotArea>
    </format>
    <format dxfId="16">
      <pivotArea dataOnly="0" labelOnly="1" grandRow="1" outline="0" offset="B256:IV256" fieldPosition="0"/>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E2A0313-BB40-43DB-9772-B86686E95AC0}" name="Pilots" displayName="Pilots" ref="A4:Q27" totalsRowShown="0" headerRowDxfId="575" dataDxfId="574">
  <autoFilter ref="A4:Q27" xr:uid="{5E2A0313-BB40-43DB-9772-B86686E95AC0}"/>
  <tableColumns count="17">
    <tableColumn id="1" xr3:uid="{AAE63516-D10F-4C4C-ADAB-5FA7D2BB29F1}" name="№" dataDxfId="573"/>
    <tableColumn id="2" xr3:uid="{D1C8229B-DDAA-4FBE-AC86-3A79F420CA0E}" name="Title" dataDxfId="572"/>
    <tableColumn id="3" xr3:uid="{CDBE261D-BA2B-4339-9D35-AAA1A766240A}" name="Host country" dataDxfId="571"/>
    <tableColumn id="4" xr3:uid="{62D59B93-2979-434B-BB47-266DC8DA71AD}" name="Region" dataDxfId="570"/>
    <tableColumn id="5" xr3:uid="{EFEB0261-DFDE-4AA3-896A-865569361486}" name="Sub-region" dataDxfId="569"/>
    <tableColumn id="6" xr3:uid="{1DFB9A33-729D-49FF-A7DD-ECEEC1188488}" name="Province" dataDxfId="568"/>
    <tableColumn id="7" xr3:uid="{49193981-1140-4E98-8388-AAF2A2EBBACB}" name="Type" dataDxfId="567"/>
    <tableColumn id="8" xr3:uid="{3A96F95D-3E26-4D3A-B4C4-BEBEC09AFD41}" name="Sub-type" dataDxfId="566"/>
    <tableColumn id="9" xr3:uid="{FD04EA8A-44F2-48B5-BFB9-81DAF846A3D2}" name="ktCO2/yr" dataDxfId="565"/>
    <tableColumn id="10" xr3:uid="{14B3FEAC-0F9D-470A-A649-E56FE3306C1B}" name="Financed by" dataDxfId="564"/>
    <tableColumn id="11" xr3:uid="{F6C8786D-5606-49D5-9CE3-3E0E2A0BAF66}" name="Local coordinator" dataDxfId="563"/>
    <tableColumn id="12" xr3:uid="{D1179614-4817-4EA1-A3DD-8A7EC5929C32}" name="Implementer" dataDxfId="562"/>
    <tableColumn id="13" xr3:uid="{47CC48D5-8FD7-48BE-BDD7-57F40F101269}" name="Other involved institutes" dataDxfId="561"/>
    <tableColumn id="14" xr3:uid="{962251BE-FD30-414E-915F-077E2BBF4AFC}" name="Buying country" dataDxfId="560"/>
    <tableColumn id="15" xr3:uid="{1153B5A0-58AA-4E94-A5D8-BB143564DF42}" name="Web-site"/>
    <tableColumn id="16" xr3:uid="{8826AC13-54BE-4C4F-8EC6-E2A9F02CD1D8}" name="Persons" dataDxfId="559"/>
    <tableColumn id="17" xr3:uid="{8B1E54EC-E606-466F-91E6-60A9265AF6BA}" name="Comments" dataDxfId="558"/>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A1A78D6-1BC3-464E-A8B1-C0425462B19F}" name="JCM" displayName="JCM" ref="A4:Q117" totalsRowShown="0" headerRowDxfId="557" dataDxfId="555" headerRowBorderDxfId="556" tableBorderDxfId="554">
  <autoFilter ref="A4:Q117" xr:uid="{EA1A78D6-1BC3-464E-A8B1-C0425462B19F}"/>
  <tableColumns count="17">
    <tableColumn id="1" xr3:uid="{FB52635A-39CF-40D4-AEA5-872FF1234162}" name="Number" dataDxfId="553">
      <calculatedColumnFormula>A4+1</calculatedColumnFormula>
    </tableColumn>
    <tableColumn id="2" xr3:uid="{6979320F-8905-4364-A090-0C3F3FA0E519}" name="Title" dataDxfId="552"/>
    <tableColumn id="3" xr3:uid="{29FC50B3-9EF0-48B9-A97B-4B1488E32D75}" name="Host country" dataDxfId="551"/>
    <tableColumn id="4" xr3:uid="{7AA8658A-7DE2-42D3-AA4B-44FB7779360C}" name="Region" dataDxfId="550">
      <calculatedColumnFormula>VLOOKUP(JCM[[#This Row],[Host country]],Country_Mapping[],COLUMN(Country_Mapping[[#Headers],[Region]]),0)</calculatedColumnFormula>
    </tableColumn>
    <tableColumn id="5" xr3:uid="{34BB05A5-B9BB-4EAF-A894-62C71076CB40}" name="Sub-region" dataDxfId="549">
      <calculatedColumnFormula>VLOOKUP(JCM[[#This Row],[Host country]],Country_Mapping[],COLUMN(Country_Mapping[[#Headers],[Sub-region]]),0)</calculatedColumnFormula>
    </tableColumn>
    <tableColumn id="6" xr3:uid="{5B53CC22-A918-4EB5-AFC9-AFFCBDC888B8}" name="Province" dataDxfId="548"/>
    <tableColumn id="7" xr3:uid="{E946FB52-D58D-494E-AFD1-43C5A548BFCB}" name="Type" dataDxfId="547"/>
    <tableColumn id="8" xr3:uid="{A5CA9E80-0761-4287-83E2-38690E986412}" name="Sub-type" dataDxfId="546"/>
    <tableColumn id="9" xr3:uid="{6C6D0E3E-7A1C-4EBA-8981-E46F56C85CA7}" name="ktCO2/yr" dataDxfId="545"/>
    <tableColumn id="10" xr3:uid="{2D59BE40-2B15-4723-8615-0F5035576368}" name="Financed by" dataDxfId="544"/>
    <tableColumn id="11" xr3:uid="{50871843-8106-465F-AB3D-9D0D86E33257}" name="Local coordinator" dataDxfId="543"/>
    <tableColumn id="12" xr3:uid="{CD1B6C93-C642-4691-869B-05EAAB20A5BA}" name="Implementer" dataDxfId="542"/>
    <tableColumn id="13" xr3:uid="{444218CF-8911-49B2-ABA1-EA341CDA26BD}" name="Other involved institutes" dataDxfId="541"/>
    <tableColumn id="14" xr3:uid="{6B96DB4B-33FC-4E5B-96B3-CB330AFEABE6}" name="Buying country" dataDxfId="540"/>
    <tableColumn id="15" xr3:uid="{975E2380-E4D3-4894-87CF-53D49AC4696E}" name="Web-site" dataDxfId="539" dataCellStyle="Hyperlink"/>
    <tableColumn id="16" xr3:uid="{6B3CABAC-7A28-47D8-A760-7EEE7BCD80CB}" name="Persons" dataDxfId="538"/>
    <tableColumn id="17" xr3:uid="{5098D8DA-9ECA-4DA0-89BA-458EB76D5723}" name="Comments" dataDxfId="537"/>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B901E8-53C7-49CA-8B18-ADE11B49F7D3}" name="BAs" displayName="BAs" ref="A2:G63" totalsRowShown="0" headerRowDxfId="536" dataDxfId="534" headerRowBorderDxfId="535" tableBorderDxfId="533">
  <autoFilter ref="A2:G63" xr:uid="{2EB901E8-53C7-49CA-8B18-ADE11B49F7D3}"/>
  <tableColumns count="7">
    <tableColumn id="2" xr3:uid="{D57FC08E-327B-4E2B-B1D9-BC99B88CCE9E}" name="News title/Agreement title" dataDxfId="532"/>
    <tableColumn id="3" xr3:uid="{7C4B0068-4B44-4147-97C6-77C17859152E}" name="Host Country" dataDxfId="531"/>
    <tableColumn id="4" xr3:uid="{F4FD8659-C535-44ED-A2C8-9DC26C0B6CE8}" name="Region" dataDxfId="530">
      <calculatedColumnFormula>VLOOKUP(BAs[[#This Row],[Host Country]],Country_Mapping[],COLUMN(Country_Mapping[[#Headers],[Region]]),0)</calculatedColumnFormula>
    </tableColumn>
    <tableColumn id="5" xr3:uid="{39BB5FFE-C076-4993-9D3D-EC1B93F03AD2}" name="Sub-region" dataDxfId="529">
      <calculatedColumnFormula>VLOOKUP(BAs[[#This Row],[Host Country]],Country_Mapping[],COLUMN(Country_Mapping[[#Headers],[Sub-region]]),0)</calculatedColumnFormula>
    </tableColumn>
    <tableColumn id="6" xr3:uid="{BB3E781A-F1A0-43AC-A83D-B8227C56E669}" name="Buying Country" dataDxfId="528"/>
    <tableColumn id="7" xr3:uid="{17143E2E-9207-449E-BEEE-7BA8FB8E2E82}" name="Date" dataDxfId="527"/>
    <tableColumn id="8" xr3:uid="{1C019A44-59B5-4408-AC30-A8C4D7463CC5}" name="Link" dataDxfId="526" dataCellStyle="Hyperlink"/>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651074-BFFB-4C8D-8D2A-05F34D6BCA45}" name="Virtual_Pilots" displayName="Virtual_Pilots" ref="A3:Q14" totalsRowShown="0" headerRowDxfId="525" tableBorderDxfId="524">
  <autoFilter ref="A3:Q14" xr:uid="{FA651074-BFFB-4C8D-8D2A-05F34D6BCA45}"/>
  <tableColumns count="17">
    <tableColumn id="1" xr3:uid="{18255708-76C6-4401-9E08-6CCBC2FAC8C3}" name="№" dataDxfId="523">
      <calculatedColumnFormula>A3+1</calculatedColumnFormula>
    </tableColumn>
    <tableColumn id="2" xr3:uid="{04F15805-C7E6-4DBA-B523-59EDDC4C211D}" name="Title" dataDxfId="522"/>
    <tableColumn id="3" xr3:uid="{ABA3D570-AAE5-4D79-95EA-03D4B0773304}" name="Host country" dataDxfId="521"/>
    <tableColumn id="4" xr3:uid="{63CF3717-5F8D-4C27-B065-1F1EABF538B1}" name="Region" dataDxfId="520">
      <calculatedColumnFormula>VLOOKUP(Virtual_Pilots[[#This Row],[Host country]],Country_Mapping[],COLUMN(Country_Mapping[[#Headers],[Region]]),0)</calculatedColumnFormula>
    </tableColumn>
    <tableColumn id="5" xr3:uid="{D76F76B5-12D5-4A1A-ABD7-0143CC4449F4}" name="Sub-region" dataDxfId="519">
      <calculatedColumnFormula>VLOOKUP(Virtual_Pilots[[#This Row],[Host country]],Country_Mapping[],COLUMN(Country_Mapping[[#Headers],[Sub-region]]),0)</calculatedColumnFormula>
    </tableColumn>
    <tableColumn id="6" xr3:uid="{F94C94C8-1AAE-4638-A7DC-3D2F2C61656D}" name="Province" dataDxfId="518"/>
    <tableColumn id="7" xr3:uid="{D6D1336E-3E08-4D2B-A0D5-5C1797E023A2}" name="Type" dataDxfId="517"/>
    <tableColumn id="8" xr3:uid="{7587B4CE-1344-4B90-ADCE-B20C2CB857E5}" name="Sub-type" dataDxfId="516"/>
    <tableColumn id="9" xr3:uid="{7DAC218D-A1AF-4005-AE9B-194047E16FBC}" name="ktCO2/yr" dataDxfId="515"/>
    <tableColumn id="10" xr3:uid="{D94F0827-BC8E-4998-9491-5C45A18EA178}" name="Financed by" dataDxfId="514"/>
    <tableColumn id="11" xr3:uid="{604DD4CF-6087-484E-B8AF-56E5112F8979}" name="Local coordinator" dataDxfId="513"/>
    <tableColumn id="12" xr3:uid="{8BB746E8-F2D5-4158-B173-76438332EB7F}" name="Implementer" dataDxfId="512"/>
    <tableColumn id="13" xr3:uid="{A42A9091-0C59-4D85-B911-9062EE0F559B}" name="Other involved institutes" dataDxfId="511"/>
    <tableColumn id="14" xr3:uid="{AA75BB40-476B-4C38-8F00-30151ACC6E52}" name="Buying country" dataDxfId="510"/>
    <tableColumn id="15" xr3:uid="{6983AD10-0A60-47A3-9628-3CE6B06EC775}" name="Web-site" dataDxfId="509" dataCellStyle="Hyperlink"/>
    <tableColumn id="16" xr3:uid="{ABA62465-353A-416E-BA9D-FDEDD1B3457B}" name="Persons" dataDxfId="508"/>
    <tableColumn id="17" xr3:uid="{EFAF0D76-5903-4A58-8459-8D0EA893544E}" name="Comments" dataDxfId="507"/>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6CBE4C-CC95-44B4-BF86-F0D0CFA00941}" name="Country_Mapping" displayName="Country_Mapping" ref="A1:E201" totalsRowShown="0" headerRowDxfId="506" dataDxfId="505">
  <autoFilter ref="A1:E201" xr:uid="{1D6CBE4C-CC95-44B4-BF86-F0D0CFA00941}"/>
  <sortState xmlns:xlrd2="http://schemas.microsoft.com/office/spreadsheetml/2017/richdata2" ref="A2:E197">
    <sortCondition ref="A1:A197"/>
  </sortState>
  <tableColumns count="5">
    <tableColumn id="1" xr3:uid="{2AE79A7D-1E1C-4FD2-8415-A657EEAAEBD7}" name="Host country" dataDxfId="504"/>
    <tableColumn id="2" xr3:uid="{4C48303E-5510-45BD-9B46-F5E09E0EA823}" name="Alternative spelling" dataDxfId="503"/>
    <tableColumn id="3" xr3:uid="{3EE7632F-C317-4BAE-A04E-0EE5386BAB2C}" name="Region" dataDxfId="502"/>
    <tableColumn id="4" xr3:uid="{9677FCE3-B343-484D-9181-7DB3BC68C8BD}" name="Sub-region" dataDxfId="501"/>
    <tableColumn id="5" xr3:uid="{9F9FB150-F2BE-4595-BF81-F800FB73FCE7}" name="ISO 2" dataDxfId="500"/>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54C88B-B0C8-42A9-8F3C-19629CB6E210}" name="Table2" displayName="Table2" ref="A5:D60" totalsRowShown="0" headerRowDxfId="499" headerRowBorderDxfId="498" tableBorderDxfId="497">
  <autoFilter ref="A5:D60" xr:uid="{4554C88B-B0C8-42A9-8F3C-19629CB6E210}"/>
  <tableColumns count="4">
    <tableColumn id="1" xr3:uid="{3831196E-C00B-414C-82E1-36A774FA232F}" name="Country" dataDxfId="496"/>
    <tableColumn id="2" xr3:uid="{942A04EB-23A2-41D0-9F5E-DDE12E204FAB}" name="Authority" dataDxfId="495"/>
    <tableColumn id="3" xr3:uid="{1B31B695-DAF8-4471-BC28-572912CCE0CD}" name="Contact" dataDxfId="494"/>
    <tableColumn id="4" xr3:uid="{745E66C8-90BB-427C-8DEA-86313828A55C}" name="Region classification" dataDxfId="493">
      <calculatedColumnFormula>IFERROR(VLOOKUP(Table2[[#This Row],[Country]],Country_Mapping[],COLUMN(Country_Mapping[[#Headers],[Region]]),0),VLOOKUP(Table2[[#This Row],[Country]],Country_Mapping[[Alternative spelling]:[ISO 2]],COLUMN(Country_Mapping[[#Headers],[Region]])-1,0))</calculatedColumnFormula>
    </tableColumn>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E0C8000-1D05-4CFC-A27E-B33F952C35A4}" name="Table7" displayName="Table7" ref="A3:J39" totalsRowShown="0" headerRowDxfId="492" dataDxfId="490" headerRowBorderDxfId="491" tableBorderDxfId="489">
  <autoFilter ref="A3:J39" xr:uid="{1E0C8000-1D05-4CFC-A27E-B33F952C35A4}"/>
  <tableColumns count="10">
    <tableColumn id="1" xr3:uid="{2FDCEEFE-293D-43A1-8A62-E2F325092A64}" name="Title" dataDxfId="488"/>
    <tableColumn id="2" xr3:uid="{0506A6ED-E50B-46BF-B85F-0331D94EABFA}" name="Host country" dataDxfId="487"/>
    <tableColumn id="3" xr3:uid="{186123F6-96D7-4E0C-9F21-0C4F0A453677}" name="Financed by" dataDxfId="486"/>
    <tableColumn id="4" xr3:uid="{F47A3930-C989-4EA5-A7BC-0BA7659C2933}" name="Local coordinator" dataDxfId="485"/>
    <tableColumn id="5" xr3:uid="{E63E9B9A-FAD7-4602-A7C2-F7D745489B30}" name="Implementer" dataDxfId="484"/>
    <tableColumn id="6" xr3:uid="{1B58EA75-9B4A-41C5-BD97-09FD6069149B}" name="Other involved institutes" dataDxfId="483"/>
    <tableColumn id="7" xr3:uid="{815CE666-6F3E-40D0-B7A0-4C999155D281}" name="Buying country" dataDxfId="482"/>
    <tableColumn id="8" xr3:uid="{B532C48C-1B07-4787-9EFB-99E06B71EEFD}" name="Web-site" dataDxfId="481" dataCellStyle="Hyperlink"/>
    <tableColumn id="9" xr3:uid="{DD254122-E61A-40AB-8AFB-B02E23418712}" name="Persons" dataDxfId="480"/>
    <tableColumn id="10" xr3:uid="{624BB055-C312-4A3A-B2A8-CEF17CB20873}" name="Comments" dataDxfId="479"/>
  </tableColumns>
  <tableStyleInfo name="TableStyleLight1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 dT="2023-06-22T12:15:48.19" personId="{5042B08A-41EE-4B95-BD64-7A2909900CFA}" id="{E33981DB-0532-413C-94C3-BDD2036B383A}">
    <text>Date of the news</text>
  </threadedComment>
  <threadedComment ref="F13" dT="2023-08-03T15:24:16.03" personId="{5042B08A-41EE-4B95-BD64-7A2909900CFA}" id="{3E2800B9-9251-407B-9066-FB3B880C4B44}">
    <text>Date of news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enegal.klik.ch/en/activites/ecocar-solaire" TargetMode="External"/><Relationship Id="rId13" Type="http://schemas.openxmlformats.org/officeDocument/2006/relationships/hyperlink" Target="https://www.undp.org/ghana/press-releases/ghana-authorizes-transfer-mitigation-outcomes-switzerland" TargetMode="External"/><Relationship Id="rId18" Type="http://schemas.openxmlformats.org/officeDocument/2006/relationships/hyperlink" Target="https://cmo.epa.gov.gh/index.php/ghana-swiss-cooperative-approach-under-article-6-2-of-the-paris-agreement/" TargetMode="External"/><Relationship Id="rId26" Type="http://schemas.openxmlformats.org/officeDocument/2006/relationships/table" Target="../tables/table1.xml"/><Relationship Id="rId3" Type="http://schemas.openxmlformats.org/officeDocument/2006/relationships/hyperlink" Target="https://www.international.klik.ch/en/Activities-and-impact/Mitigation-activities.287.html" TargetMode="External"/><Relationship Id="rId21" Type="http://schemas.openxmlformats.org/officeDocument/2006/relationships/hyperlink" Target="https://www.international.klik.ch/aktivitaeten/klimaschutzaktivitaeten/publikationen/malawi-dairy-biogas-programme" TargetMode="External"/><Relationship Id="rId7" Type="http://schemas.openxmlformats.org/officeDocument/2006/relationships/hyperlink" Target="https://www.international.klik.ch/en/Activities-and-impact/Mitigation-activities.287.html" TargetMode="External"/><Relationship Id="rId12" Type="http://schemas.openxmlformats.org/officeDocument/2006/relationships/hyperlink" Target="https://news-int.klik.ch/en/news/green-cooling-in-ghana" TargetMode="External"/><Relationship Id="rId17" Type="http://schemas.openxmlformats.org/officeDocument/2006/relationships/hyperlink" Target="https://cmo.epa.gov.gh/index.php/ghana-swiss-cooperative-approach-under-article-6-2-of-the-paris-agreement/" TargetMode="External"/><Relationship Id="rId25" Type="http://schemas.openxmlformats.org/officeDocument/2006/relationships/drawing" Target="../drawings/drawing1.xml"/><Relationship Id="rId2" Type="http://schemas.openxmlformats.org/officeDocument/2006/relationships/hyperlink" Target="https://www.international.klik.ch/en/Activities-and-impact/Mitigation-activities.287.html" TargetMode="External"/><Relationship Id="rId16" Type="http://schemas.openxmlformats.org/officeDocument/2006/relationships/hyperlink" Target="https://cmo.epa.gov.gh/index.php/ghana-swiss-cooperative-approach-under-article-6-2-of-the-paris-agreement/" TargetMode="External"/><Relationship Id="rId20" Type="http://schemas.openxmlformats.org/officeDocument/2006/relationships/hyperlink" Target="https://www.international.klik.ch/aktivitaeten/klimaschutzaktivitaeten/publikationen/georgia-energy-efficiency-scheme" TargetMode="External"/><Relationship Id="rId1" Type="http://schemas.openxmlformats.org/officeDocument/2006/relationships/hyperlink" Target="https://www.international.klik.ch/en/Activities-and-impact/Mitigation-activities.287.html" TargetMode="External"/><Relationship Id="rId6" Type="http://schemas.openxmlformats.org/officeDocument/2006/relationships/hyperlink" Target="https://www.international.klik.ch/en/Activities-and-impact/Mitigation-activities.287.html" TargetMode="External"/><Relationship Id="rId11" Type="http://schemas.openxmlformats.org/officeDocument/2006/relationships/hyperlink" Target="https://thailand.klik.ch/news/climate-protection-programme-approved-by-switzerland-thailand" TargetMode="External"/><Relationship Id="rId24" Type="http://schemas.openxmlformats.org/officeDocument/2006/relationships/printerSettings" Target="../printerSettings/printerSettings1.bin"/><Relationship Id="rId5" Type="http://schemas.openxmlformats.org/officeDocument/2006/relationships/hyperlink" Target="https://www.international.klik.ch/en/Activities-and-impact/Mitigation-activities.287.html" TargetMode="External"/><Relationship Id="rId15" Type="http://schemas.openxmlformats.org/officeDocument/2006/relationships/hyperlink" Target="https://cmo.epa.gov.gh/index.php/ghana-swiss-cooperative-approach-under-article-6-2-of-the-paris-agreement/" TargetMode="External"/><Relationship Id="rId23" Type="http://schemas.openxmlformats.org/officeDocument/2006/relationships/hyperlink" Target="https://www.bafu.admin.ch/bafu/en/home/topics/climate/info-specialists/reduction-measures/compensation/abroad/registered-projects-abroad.html" TargetMode="External"/><Relationship Id="rId10" Type="http://schemas.openxmlformats.org/officeDocument/2006/relationships/hyperlink" Target="https://www.international.klik.ch/news/publications/clean-cooking" TargetMode="External"/><Relationship Id="rId19" Type="http://schemas.openxmlformats.org/officeDocument/2006/relationships/hyperlink" Target="https://www.international.klik.ch/aktivitaeten/klimaschutzaktivitaeten/publikationen/arep-peru" TargetMode="External"/><Relationship Id="rId4" Type="http://schemas.openxmlformats.org/officeDocument/2006/relationships/hyperlink" Target="https://www.international.klik.ch/en/Activities-and-impact/Mitigation-activities.287.html" TargetMode="External"/><Relationship Id="rId9" Type="http://schemas.openxmlformats.org/officeDocument/2006/relationships/hyperlink" Target="https://www.international.klik.ch/news/publications/cookstove-and-sustainable-biomass-project" TargetMode="External"/><Relationship Id="rId14" Type="http://schemas.openxmlformats.org/officeDocument/2006/relationships/hyperlink" Target="https://cmo.epa.gov.gh/index.php/ghana-swiss-cooperative-approach-under-article-6-2-of-the-paris-agreement/" TargetMode="External"/><Relationship Id="rId22" Type="http://schemas.openxmlformats.org/officeDocument/2006/relationships/hyperlink" Target="https://www.international.klik.ch/news/publications/tuki-wasi-clean-home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jcm.go.jp/projects/70" TargetMode="External"/><Relationship Id="rId21" Type="http://schemas.openxmlformats.org/officeDocument/2006/relationships/hyperlink" Target="https://www.jcm.go.jp/projects/70" TargetMode="External"/><Relationship Id="rId42" Type="http://schemas.openxmlformats.org/officeDocument/2006/relationships/hyperlink" Target="https://www.jcm.go.jp/projects/4" TargetMode="External"/><Relationship Id="rId47" Type="http://schemas.openxmlformats.org/officeDocument/2006/relationships/hyperlink" Target="https://www.jcm.go.jp/projects/47" TargetMode="External"/><Relationship Id="rId63" Type="http://schemas.openxmlformats.org/officeDocument/2006/relationships/hyperlink" Target="https://www.jcm.go.jp/kh-jp/projects/83" TargetMode="External"/><Relationship Id="rId68" Type="http://schemas.openxmlformats.org/officeDocument/2006/relationships/hyperlink" Target="https://www.jcm.go.jp/id-jp/projects/113" TargetMode="External"/><Relationship Id="rId84" Type="http://schemas.openxmlformats.org/officeDocument/2006/relationships/hyperlink" Target="https://www.jcm.go.jp/id-jp/projects/46" TargetMode="External"/><Relationship Id="rId89" Type="http://schemas.openxmlformats.org/officeDocument/2006/relationships/hyperlink" Target="https://www.jcm.go.jp/id-jp/projects/29" TargetMode="External"/><Relationship Id="rId2" Type="http://schemas.openxmlformats.org/officeDocument/2006/relationships/hyperlink" Target="https://www.jcm.go.jp/projects/104" TargetMode="External"/><Relationship Id="rId16" Type="http://schemas.openxmlformats.org/officeDocument/2006/relationships/hyperlink" Target="https://www.jcm.go.jp/projects/103" TargetMode="External"/><Relationship Id="rId29" Type="http://schemas.openxmlformats.org/officeDocument/2006/relationships/hyperlink" Target="https://www.jcm.go.jp/projects/65" TargetMode="External"/><Relationship Id="rId107" Type="http://schemas.openxmlformats.org/officeDocument/2006/relationships/hyperlink" Target="https://www.jcm.go.jp/bd-jp/projects/19" TargetMode="External"/><Relationship Id="rId11" Type="http://schemas.openxmlformats.org/officeDocument/2006/relationships/hyperlink" Target="https://www.jcm.go.jp/projects/8" TargetMode="External"/><Relationship Id="rId24" Type="http://schemas.openxmlformats.org/officeDocument/2006/relationships/hyperlink" Target="https://www.jcm.go.jp/projects/74" TargetMode="External"/><Relationship Id="rId32" Type="http://schemas.openxmlformats.org/officeDocument/2006/relationships/hyperlink" Target="https://www.jcm.go.jp/projects/48" TargetMode="External"/><Relationship Id="rId37" Type="http://schemas.openxmlformats.org/officeDocument/2006/relationships/hyperlink" Target="https://www.jcm.go.jp/projects/41" TargetMode="External"/><Relationship Id="rId40" Type="http://schemas.openxmlformats.org/officeDocument/2006/relationships/hyperlink" Target="https://www.jcm.go.jp/projects/14" TargetMode="External"/><Relationship Id="rId45" Type="http://schemas.openxmlformats.org/officeDocument/2006/relationships/hyperlink" Target="https://www.jcm.go.jp/projects/85" TargetMode="External"/><Relationship Id="rId53" Type="http://schemas.openxmlformats.org/officeDocument/2006/relationships/hyperlink" Target="https://www.jcm.go.jp/projects/5" TargetMode="External"/><Relationship Id="rId58" Type="http://schemas.openxmlformats.org/officeDocument/2006/relationships/hyperlink" Target="https://www.jcm.go.jp/projects/18" TargetMode="External"/><Relationship Id="rId66" Type="http://schemas.openxmlformats.org/officeDocument/2006/relationships/hyperlink" Target="https://www.jcm.go.jp/ke-jp/projects/31" TargetMode="External"/><Relationship Id="rId74" Type="http://schemas.openxmlformats.org/officeDocument/2006/relationships/hyperlink" Target="https://www.jcm.go.jp/id-jp/projects/82" TargetMode="External"/><Relationship Id="rId79" Type="http://schemas.openxmlformats.org/officeDocument/2006/relationships/hyperlink" Target="https://www.jcm.go.jp/id-jp/projects/62" TargetMode="External"/><Relationship Id="rId87" Type="http://schemas.openxmlformats.org/officeDocument/2006/relationships/hyperlink" Target="https://www.jcm.go.jp/id-jp/projects/36" TargetMode="External"/><Relationship Id="rId102" Type="http://schemas.openxmlformats.org/officeDocument/2006/relationships/hyperlink" Target="https://www.jcm.go.jp/cr-jp/projects/77" TargetMode="External"/><Relationship Id="rId110" Type="http://schemas.openxmlformats.org/officeDocument/2006/relationships/table" Target="../tables/table2.xml"/><Relationship Id="rId5" Type="http://schemas.openxmlformats.org/officeDocument/2006/relationships/hyperlink" Target="https://www.jcm.go.jp/projects/60" TargetMode="External"/><Relationship Id="rId61" Type="http://schemas.openxmlformats.org/officeDocument/2006/relationships/hyperlink" Target="https://www.jcm.go.jp/mm-jp/projects/80" TargetMode="External"/><Relationship Id="rId82" Type="http://schemas.openxmlformats.org/officeDocument/2006/relationships/hyperlink" Target="https://www.jcm.go.jp/id-jp/projects/51" TargetMode="External"/><Relationship Id="rId90" Type="http://schemas.openxmlformats.org/officeDocument/2006/relationships/hyperlink" Target="https://www.jcm.go.jp/id-jp/projects/24" TargetMode="External"/><Relationship Id="rId95" Type="http://schemas.openxmlformats.org/officeDocument/2006/relationships/hyperlink" Target="https://www.jcm.go.jp/id-jp/projects/10" TargetMode="External"/><Relationship Id="rId19" Type="http://schemas.openxmlformats.org/officeDocument/2006/relationships/hyperlink" Target="https://www.jcm.go.jp/projects/96" TargetMode="External"/><Relationship Id="rId14" Type="http://schemas.openxmlformats.org/officeDocument/2006/relationships/hyperlink" Target="https://www.jcm.go.jp/projects/107" TargetMode="External"/><Relationship Id="rId22" Type="http://schemas.openxmlformats.org/officeDocument/2006/relationships/hyperlink" Target="https://www.jcm.go.jp/projects/91" TargetMode="External"/><Relationship Id="rId27" Type="http://schemas.openxmlformats.org/officeDocument/2006/relationships/hyperlink" Target="https://www.jcm.go.jp/projects/69" TargetMode="External"/><Relationship Id="rId30" Type="http://schemas.openxmlformats.org/officeDocument/2006/relationships/hyperlink" Target="https://www.jcm.go.jp/projects/64" TargetMode="External"/><Relationship Id="rId35" Type="http://schemas.openxmlformats.org/officeDocument/2006/relationships/hyperlink" Target="https://www.jcm.go.jp/projects/43" TargetMode="External"/><Relationship Id="rId43" Type="http://schemas.openxmlformats.org/officeDocument/2006/relationships/hyperlink" Target="https://www.jcm.go.jp/projects/87" TargetMode="External"/><Relationship Id="rId48" Type="http://schemas.openxmlformats.org/officeDocument/2006/relationships/hyperlink" Target="https://www.jcm.go.jp/projects/89" TargetMode="External"/><Relationship Id="rId56" Type="http://schemas.openxmlformats.org/officeDocument/2006/relationships/hyperlink" Target="https://www.jcm.go.jp/projects/98" TargetMode="External"/><Relationship Id="rId64" Type="http://schemas.openxmlformats.org/officeDocument/2006/relationships/hyperlink" Target="https://www.jcm.go.jp/kh-jp/projects/30" TargetMode="External"/><Relationship Id="rId69" Type="http://schemas.openxmlformats.org/officeDocument/2006/relationships/hyperlink" Target="https://www.jcm.go.jp/id-jp/projects/110" TargetMode="External"/><Relationship Id="rId77" Type="http://schemas.openxmlformats.org/officeDocument/2006/relationships/hyperlink" Target="https://www.jcm.go.jp/id-jp/projects/72" TargetMode="External"/><Relationship Id="rId100" Type="http://schemas.openxmlformats.org/officeDocument/2006/relationships/hyperlink" Target="https://www.jcm.go.jp/cl-jp/projects/102" TargetMode="External"/><Relationship Id="rId105" Type="http://schemas.openxmlformats.org/officeDocument/2006/relationships/hyperlink" Target="https://www.jcm.go.jp/bd-jp/projects/38" TargetMode="External"/><Relationship Id="rId8" Type="http://schemas.openxmlformats.org/officeDocument/2006/relationships/hyperlink" Target="https://www.jcm.go.jp/projects/34/pdd_file" TargetMode="External"/><Relationship Id="rId51" Type="http://schemas.openxmlformats.org/officeDocument/2006/relationships/hyperlink" Target="https://www.jcm.go.jp/projects/21" TargetMode="External"/><Relationship Id="rId72" Type="http://schemas.openxmlformats.org/officeDocument/2006/relationships/hyperlink" Target="https://www.jcm.go.jp/id-jp/projects/93" TargetMode="External"/><Relationship Id="rId80" Type="http://schemas.openxmlformats.org/officeDocument/2006/relationships/hyperlink" Target="https://www.jcm.go.jp/id-jp/projects/58" TargetMode="External"/><Relationship Id="rId85" Type="http://schemas.openxmlformats.org/officeDocument/2006/relationships/hyperlink" Target="https://www.jcm.go.jp/id-jp/projects/42" TargetMode="External"/><Relationship Id="rId93" Type="http://schemas.openxmlformats.org/officeDocument/2006/relationships/hyperlink" Target="https://www.jcm.go.jp/id-jp/projects/16" TargetMode="External"/><Relationship Id="rId98" Type="http://schemas.openxmlformats.org/officeDocument/2006/relationships/hyperlink" Target="https://www.jcm.go.jp/id-jp/projects/2" TargetMode="External"/><Relationship Id="rId3" Type="http://schemas.openxmlformats.org/officeDocument/2006/relationships/hyperlink" Target="https://www.jcm.go.jp/projects/76" TargetMode="External"/><Relationship Id="rId12" Type="http://schemas.openxmlformats.org/officeDocument/2006/relationships/hyperlink" Target="https://www.jcm.go.jp/projects/7" TargetMode="External"/><Relationship Id="rId17" Type="http://schemas.openxmlformats.org/officeDocument/2006/relationships/hyperlink" Target="https://www.jcm.go.jp/projects/101" TargetMode="External"/><Relationship Id="rId25" Type="http://schemas.openxmlformats.org/officeDocument/2006/relationships/hyperlink" Target="https://www.jcm.go.jp/projects/71" TargetMode="External"/><Relationship Id="rId33" Type="http://schemas.openxmlformats.org/officeDocument/2006/relationships/hyperlink" Target="https://www.jcm.go.jp/projects/45" TargetMode="External"/><Relationship Id="rId38" Type="http://schemas.openxmlformats.org/officeDocument/2006/relationships/hyperlink" Target="https://www.jcm.go.jp/projects/97" TargetMode="External"/><Relationship Id="rId46" Type="http://schemas.openxmlformats.org/officeDocument/2006/relationships/hyperlink" Target="https://www.jcm.go.jp/projects/84" TargetMode="External"/><Relationship Id="rId59" Type="http://schemas.openxmlformats.org/officeDocument/2006/relationships/hyperlink" Target="https://www.jcm.go.jp/projects/66" TargetMode="External"/><Relationship Id="rId67" Type="http://schemas.openxmlformats.org/officeDocument/2006/relationships/hyperlink" Target="https://www.jcm.go.jp/ke-jp/projects/25" TargetMode="External"/><Relationship Id="rId103" Type="http://schemas.openxmlformats.org/officeDocument/2006/relationships/hyperlink" Target="https://www.jcm.go.jp/cr-jp/projects/49" TargetMode="External"/><Relationship Id="rId108" Type="http://schemas.openxmlformats.org/officeDocument/2006/relationships/hyperlink" Target="https://gec.jp/jcm/about/" TargetMode="External"/><Relationship Id="rId20" Type="http://schemas.openxmlformats.org/officeDocument/2006/relationships/hyperlink" Target="https://www.jcm.go.jp/projects/95" TargetMode="External"/><Relationship Id="rId41" Type="http://schemas.openxmlformats.org/officeDocument/2006/relationships/hyperlink" Target="https://www.jcm.go.jp/projects/13" TargetMode="External"/><Relationship Id="rId54" Type="http://schemas.openxmlformats.org/officeDocument/2006/relationships/hyperlink" Target="https://www.jcm.go.jp/projects/56" TargetMode="External"/><Relationship Id="rId62" Type="http://schemas.openxmlformats.org/officeDocument/2006/relationships/hyperlink" Target="https://www.jcm.go.jp/kh-jp/projects/92" TargetMode="External"/><Relationship Id="rId70" Type="http://schemas.openxmlformats.org/officeDocument/2006/relationships/hyperlink" Target="https://www.jcm.go.jp/id-jp/projects/109" TargetMode="External"/><Relationship Id="rId75" Type="http://schemas.openxmlformats.org/officeDocument/2006/relationships/hyperlink" Target="https://www.jcm.go.jp/id-jp/projects/79" TargetMode="External"/><Relationship Id="rId83" Type="http://schemas.openxmlformats.org/officeDocument/2006/relationships/hyperlink" Target="https://www.jcm.go.jp/id-jp/projects/50" TargetMode="External"/><Relationship Id="rId88" Type="http://schemas.openxmlformats.org/officeDocument/2006/relationships/hyperlink" Target="https://www.jcm.go.jp/id-jp/projects/32" TargetMode="External"/><Relationship Id="rId91" Type="http://schemas.openxmlformats.org/officeDocument/2006/relationships/hyperlink" Target="https://www.jcm.go.jp/id-jp/projects/20" TargetMode="External"/><Relationship Id="rId96" Type="http://schemas.openxmlformats.org/officeDocument/2006/relationships/hyperlink" Target="https://www.jcm.go.jp/id-jp/projects/9" TargetMode="External"/><Relationship Id="rId1" Type="http://schemas.openxmlformats.org/officeDocument/2006/relationships/hyperlink" Target="https://www.jcm.go.jp/projects/105" TargetMode="External"/><Relationship Id="rId6" Type="http://schemas.openxmlformats.org/officeDocument/2006/relationships/hyperlink" Target="https://www.jcm.go.jp/projects/55" TargetMode="External"/><Relationship Id="rId15" Type="http://schemas.openxmlformats.org/officeDocument/2006/relationships/hyperlink" Target="https://www.jcm.go.jp/projects/106" TargetMode="External"/><Relationship Id="rId23" Type="http://schemas.openxmlformats.org/officeDocument/2006/relationships/hyperlink" Target="https://www.jcm.go.jp/projects/78" TargetMode="External"/><Relationship Id="rId28" Type="http://schemas.openxmlformats.org/officeDocument/2006/relationships/hyperlink" Target="https://www.jcm.go.jp/projects/68" TargetMode="External"/><Relationship Id="rId36" Type="http://schemas.openxmlformats.org/officeDocument/2006/relationships/hyperlink" Target="https://www.jcm.go.jp/projects/28" TargetMode="External"/><Relationship Id="rId49" Type="http://schemas.openxmlformats.org/officeDocument/2006/relationships/hyperlink" Target="https://www.jcm.go.jp/projects/27" TargetMode="External"/><Relationship Id="rId57" Type="http://schemas.openxmlformats.org/officeDocument/2006/relationships/hyperlink" Target="https://www.jcm.go.jp/projects/90" TargetMode="External"/><Relationship Id="rId106" Type="http://schemas.openxmlformats.org/officeDocument/2006/relationships/hyperlink" Target="https://www.jcm.go.jp/bd-jp/projects/26" TargetMode="External"/><Relationship Id="rId10" Type="http://schemas.openxmlformats.org/officeDocument/2006/relationships/hyperlink" Target="https://www.jcm.go.jp/projects/12" TargetMode="External"/><Relationship Id="rId31" Type="http://schemas.openxmlformats.org/officeDocument/2006/relationships/hyperlink" Target="https://www.jcm.go.jp/projects/53" TargetMode="External"/><Relationship Id="rId44" Type="http://schemas.openxmlformats.org/officeDocument/2006/relationships/hyperlink" Target="https://www.jcm.go.jp/projects/86" TargetMode="External"/><Relationship Id="rId52" Type="http://schemas.openxmlformats.org/officeDocument/2006/relationships/hyperlink" Target="https://www.jcm.go.jp/projects/6" TargetMode="External"/><Relationship Id="rId60" Type="http://schemas.openxmlformats.org/officeDocument/2006/relationships/hyperlink" Target="https://www.jcm.go.jp/mv-jp/projects/108" TargetMode="External"/><Relationship Id="rId65" Type="http://schemas.openxmlformats.org/officeDocument/2006/relationships/hyperlink" Target="https://www.jcm.go.jp/kh-jp/projects/81" TargetMode="External"/><Relationship Id="rId73" Type="http://schemas.openxmlformats.org/officeDocument/2006/relationships/hyperlink" Target="https://www.jcm.go.jp/id-jp/projects/88" TargetMode="External"/><Relationship Id="rId78" Type="http://schemas.openxmlformats.org/officeDocument/2006/relationships/hyperlink" Target="https://www.jcm.go.jp/id-jp/projects/63" TargetMode="External"/><Relationship Id="rId81" Type="http://schemas.openxmlformats.org/officeDocument/2006/relationships/hyperlink" Target="https://www.jcm.go.jp/id-jp/projects/57" TargetMode="External"/><Relationship Id="rId86" Type="http://schemas.openxmlformats.org/officeDocument/2006/relationships/hyperlink" Target="https://www.jcm.go.jp/id-jp/projects/40" TargetMode="External"/><Relationship Id="rId94" Type="http://schemas.openxmlformats.org/officeDocument/2006/relationships/hyperlink" Target="https://www.jcm.go.jp/id-jp/projects/11" TargetMode="External"/><Relationship Id="rId99" Type="http://schemas.openxmlformats.org/officeDocument/2006/relationships/hyperlink" Target="https://www.jcm.go.jp/id-jp/projects/1" TargetMode="External"/><Relationship Id="rId101" Type="http://schemas.openxmlformats.org/officeDocument/2006/relationships/hyperlink" Target="https://www.jcm.go.jp/cl-jp/projects/61" TargetMode="External"/><Relationship Id="rId4" Type="http://schemas.openxmlformats.org/officeDocument/2006/relationships/hyperlink" Target="https://www.jcm.go.jp/projects/67" TargetMode="External"/><Relationship Id="rId9" Type="http://schemas.openxmlformats.org/officeDocument/2006/relationships/hyperlink" Target="https://www.jcm.go.jp/projects/33" TargetMode="External"/><Relationship Id="rId13" Type="http://schemas.openxmlformats.org/officeDocument/2006/relationships/hyperlink" Target="https://www.jcm.go.jp/projects/111" TargetMode="External"/><Relationship Id="rId18" Type="http://schemas.openxmlformats.org/officeDocument/2006/relationships/hyperlink" Target="https://www.jcm.go.jp/projects/100" TargetMode="External"/><Relationship Id="rId39" Type="http://schemas.openxmlformats.org/officeDocument/2006/relationships/hyperlink" Target="https://www.jcm.go.jp/projects/75" TargetMode="External"/><Relationship Id="rId109" Type="http://schemas.openxmlformats.org/officeDocument/2006/relationships/printerSettings" Target="../printerSettings/printerSettings2.bin"/><Relationship Id="rId34" Type="http://schemas.openxmlformats.org/officeDocument/2006/relationships/hyperlink" Target="https://www.jcm.go.jp/projects/44" TargetMode="External"/><Relationship Id="rId50" Type="http://schemas.openxmlformats.org/officeDocument/2006/relationships/hyperlink" Target="https://www.jcm.go.jp/projects/22" TargetMode="External"/><Relationship Id="rId55" Type="http://schemas.openxmlformats.org/officeDocument/2006/relationships/hyperlink" Target="https://www.jcm.go.jp/projects/112" TargetMode="External"/><Relationship Id="rId76" Type="http://schemas.openxmlformats.org/officeDocument/2006/relationships/hyperlink" Target="https://www.jcm.go.jp/id-jp/projects/73" TargetMode="External"/><Relationship Id="rId97" Type="http://schemas.openxmlformats.org/officeDocument/2006/relationships/hyperlink" Target="https://www.jcm.go.jp/id-jp/projects/3" TargetMode="External"/><Relationship Id="rId104" Type="http://schemas.openxmlformats.org/officeDocument/2006/relationships/hyperlink" Target="https://www.jcm.go.jp/bd-jp/projects/39" TargetMode="External"/><Relationship Id="rId7" Type="http://schemas.openxmlformats.org/officeDocument/2006/relationships/hyperlink" Target="https://www.jcm.go.jp/projects/54" TargetMode="External"/><Relationship Id="rId71" Type="http://schemas.openxmlformats.org/officeDocument/2006/relationships/hyperlink" Target="https://www.jcm.go.jp/id-jp/projects/99" TargetMode="External"/><Relationship Id="rId92" Type="http://schemas.openxmlformats.org/officeDocument/2006/relationships/hyperlink" Target="https://www.jcm.go.jp/id-jp/projects/17"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jcm.go.jp/mn-jp/about" TargetMode="External"/><Relationship Id="rId18" Type="http://schemas.openxmlformats.org/officeDocument/2006/relationships/hyperlink" Target="https://www.jcm.go.jp/vn-jp/about" TargetMode="External"/><Relationship Id="rId26" Type="http://schemas.openxmlformats.org/officeDocument/2006/relationships/hyperlink" Target="https://www.jcm.go.jp/cl-jp/about" TargetMode="External"/><Relationship Id="rId39" Type="http://schemas.openxmlformats.org/officeDocument/2006/relationships/hyperlink" Target="https://www.energimyndigheten.se/48db4d/globalassets/webb-en/cooperation/international-climate-cooperation/mou-on-bilateral-cooperation-under-article-6-of-the-paris-agreement---sweden-and-nepal.pdf" TargetMode="External"/><Relationship Id="rId21" Type="http://schemas.openxmlformats.org/officeDocument/2006/relationships/hyperlink" Target="https://www.jcm.go.jp/cr-jp/about" TargetMode="External"/><Relationship Id="rId34" Type="http://schemas.openxmlformats.org/officeDocument/2006/relationships/hyperlink" Target="https://www.env.go.jp/en/press/press_00446.html" TargetMode="External"/><Relationship Id="rId42" Type="http://schemas.openxmlformats.org/officeDocument/2006/relationships/hyperlink" Target="https://carbon-pulse.com/212266/?utm_source=CP+Daily&amp;utm_campaign=e2345ce8af-CPdaily13072023&amp;utm_medium=email&amp;utm_term=0_a9d8834f72-e2345ce8af-110444006" TargetMode="External"/><Relationship Id="rId47" Type="http://schemas.openxmlformats.org/officeDocument/2006/relationships/hyperlink" Target="https://www.dcceew.gov.au/climate-change/international-commitments/indo-pacific-region" TargetMode="External"/><Relationship Id="rId50" Type="http://schemas.openxmlformats.org/officeDocument/2006/relationships/hyperlink" Target="https://www.nccs.gov.sg/media/press-release/singapore-and-indonesia-sign-memorandum-of-understanding-cooperation-on-climate-change-and-sustainability" TargetMode="External"/><Relationship Id="rId55" Type="http://schemas.openxmlformats.org/officeDocument/2006/relationships/hyperlink" Target="https://www.bafu.admin.ch/dam/bafu/en/dokumente/international/fachinfo-daten/durchfuehrungsabkommen-zum-uebereinkommen-von-paris-zwischen-dem-schweizerischen-bundesrat-und-der-regierung-der-republik-malawi.pdf.download.pdf/durchfuehrungsabkommen-zum-uebereinkommen-von-paris-zwischen-dem-schweizerischen-bundesrat-und-der-regierung-der-republik-malawi.pdf" TargetMode="External"/><Relationship Id="rId63" Type="http://schemas.microsoft.com/office/2017/10/relationships/threadedComment" Target="../threadedComments/threadedComment1.xml"/><Relationship Id="rId7" Type="http://schemas.openxmlformats.org/officeDocument/2006/relationships/hyperlink" Target="http://eng.me.go.kr/eng/web/board/read.do?menuId=461&amp;boardMasterId=522&amp;boardId=1523930" TargetMode="External"/><Relationship Id="rId2" Type="http://schemas.openxmlformats.org/officeDocument/2006/relationships/hyperlink" Target="https://www.mse.gov.sg/resource-room/category/2022-11-14-speech-by-minister-grace-fu-mou-signing-ceremony-papua-new-guinea" TargetMode="External"/><Relationship Id="rId16" Type="http://schemas.openxmlformats.org/officeDocument/2006/relationships/hyperlink" Target="https://www.jcm.go.jp/ke-jp/about" TargetMode="External"/><Relationship Id="rId20" Type="http://schemas.openxmlformats.org/officeDocument/2006/relationships/hyperlink" Target="https://www.jcm.go.jp/id-jp/about" TargetMode="External"/><Relationship Id="rId29" Type="http://schemas.openxmlformats.org/officeDocument/2006/relationships/hyperlink" Target="https://www.jcm.go.jp/ph-jp/about" TargetMode="External"/><Relationship Id="rId41" Type="http://schemas.openxmlformats.org/officeDocument/2006/relationships/hyperlink" Target="https://www.energimyndigheten.se/48db4d/globalassets/webb-en/cooperation/international-climate-cooperation/mou-on-bilateral-cooperation-under-article-6-of-the-paris-agreement---sweden-and-dominican-republic.pdf" TargetMode="External"/><Relationship Id="rId54" Type="http://schemas.openxmlformats.org/officeDocument/2006/relationships/hyperlink" Target="https://www.bafu.admin.ch/dam/bafu/en/dokumente/international/fachinfo-daten/Accord%20de%20mise%20en%20oeuvre%20de%20l_Accord%20de%20Paris%20entre%20la%20Confederation%20suisse%20et%20le%20Royaume%20du%20Maroc.pdf.download.pdf/Accord%20de%20mise%20en%20oeuvre%20de%20l_Accord%20de%20Paris%20entre%20la%20Confederation%20suisse%20et%20le%20Royaume%20du%20Maroc.pdf" TargetMode="External"/><Relationship Id="rId62" Type="http://schemas.openxmlformats.org/officeDocument/2006/relationships/comments" Target="../comments1.xml"/><Relationship Id="rId1" Type="http://schemas.openxmlformats.org/officeDocument/2006/relationships/hyperlink" Target="https://www.mse.gov.sg/resource-room/category/2022-11-15-media-release-singapore-and-ghana-implementation-agreement-article-6" TargetMode="External"/><Relationship Id="rId6" Type="http://schemas.openxmlformats.org/officeDocument/2006/relationships/hyperlink" Target="https://carbon-pulse.com/168359/" TargetMode="External"/><Relationship Id="rId11" Type="http://schemas.openxmlformats.org/officeDocument/2006/relationships/hyperlink" Target="https://www.bafu.admin.ch/dam/bafu/en/dokumente/international/fachinfo-daten/Cooperation%20Agreement%20CH-Ghana%20Implementation%20Paris%20Agreement.pdf.download.pdf/Cooperation%20Agreement%20CH-Ghana%20Implementation%20Paris%20Agreement.pdf" TargetMode="External"/><Relationship Id="rId24" Type="http://schemas.openxmlformats.org/officeDocument/2006/relationships/hyperlink" Target="https://www.jcm.go.jp/mx-jp/about" TargetMode="External"/><Relationship Id="rId32" Type="http://schemas.openxmlformats.org/officeDocument/2006/relationships/hyperlink" Target="https://www.env.go.jp/en/press/press_00694.html" TargetMode="External"/><Relationship Id="rId37" Type="http://schemas.openxmlformats.org/officeDocument/2006/relationships/hyperlink" Target="https://www.env.go.jp/en/press/press_00744.html" TargetMode="External"/><Relationship Id="rId40" Type="http://schemas.openxmlformats.org/officeDocument/2006/relationships/hyperlink" Target="https://www.energimyndigheten.se/48db4d/globalassets/webb-en/cooperation/international-climate-cooperation/mou-on-bilateral-cooperation-under-article-6-of-the-paris-agreement---sweden-and-ghana.pdf" TargetMode="External"/><Relationship Id="rId45" Type="http://schemas.openxmlformats.org/officeDocument/2006/relationships/hyperlink" Target="https://www.mse.gov.sg/resource-room/category/2023-06-06-ecosperity-week-2023" TargetMode="External"/><Relationship Id="rId53" Type="http://schemas.openxmlformats.org/officeDocument/2006/relationships/hyperlink" Target="https://www.bafu.admin.ch/dam/bafu/en/dokumente/international/fachinfo-daten/Implementing%20Agreement%20to%20the%20Paris%20Agreement%20between%20the%20Swiss%20Federal%20Council%20and%20the%20Government%20of%20Ukraine.pdf.download.pdf/Implementing%20Agreement%20to%20the%20Paris%20Agreement%20between%20the%20Swiss%20Federal%20Council%20and%20the%20Government%20of%20Ukraine.pdf" TargetMode="External"/><Relationship Id="rId58" Type="http://schemas.openxmlformats.org/officeDocument/2006/relationships/hyperlink" Target="https://www.bafu.admin.ch/dam/bafu/en/dokumente/international/fachinfo-daten/Implementing%20Agreement%20to%20the%20Paris%20Agreement%20between%20the%20Swiss%20Confederation%20and%20the%20Republic%20of%20Vanuatu1.pdf.download.pdf/Implementing%20Agreement%20to%20the%20Paris%20Agreement%20between%20the%20Swiss%20Confederation%20and%20the%20Republic%20of%20Vanuatu1.pdf" TargetMode="External"/><Relationship Id="rId5" Type="http://schemas.openxmlformats.org/officeDocument/2006/relationships/hyperlink" Target="https://www.mapamazighe.ma/en/actualites/general/morocco-singapore-sign-mou-cooperation-under-paris-agreements-article-6" TargetMode="External"/><Relationship Id="rId15" Type="http://schemas.openxmlformats.org/officeDocument/2006/relationships/hyperlink" Target="https://www.jcm.go.jp/et-jp/about" TargetMode="External"/><Relationship Id="rId23" Type="http://schemas.openxmlformats.org/officeDocument/2006/relationships/hyperlink" Target="https://www.jcm.go.jp/kh-jp/about" TargetMode="External"/><Relationship Id="rId28" Type="http://schemas.openxmlformats.org/officeDocument/2006/relationships/hyperlink" Target="https://www.jcm.go.jp/th-jp/about" TargetMode="External"/><Relationship Id="rId36" Type="http://schemas.openxmlformats.org/officeDocument/2006/relationships/hyperlink" Target="https://www.env.go.jp/en/press/press_00647.html" TargetMode="External"/><Relationship Id="rId49" Type="http://schemas.openxmlformats.org/officeDocument/2006/relationships/hyperlink" Target="https://www.mti.gov.sg/-/media/MTI/Newsroom/Press-Releases/2023/06/Press-Release-on-Signing-of-SG-Dominican-Republic-carbon-credits-collaboration.pdf" TargetMode="External"/><Relationship Id="rId57" Type="http://schemas.openxmlformats.org/officeDocument/2006/relationships/hyperlink" Target="https://www.bafu.admin.ch/dam/bafu/fr/dokumente/international/fachinfo-daten/Implementing%20Agreement%20to%20Paris%20Agreement%20between%20the%20Swiss%20Confederation%20and%20Georgia.pdf.download.pdf/Implementing%20Agreement%20to%20Paris%20Agreement%20between%20the%20Swiss%20Confederation%20and%20Georgia.pdf" TargetMode="External"/><Relationship Id="rId61" Type="http://schemas.openxmlformats.org/officeDocument/2006/relationships/table" Target="../tables/table3.xml"/><Relationship Id="rId10" Type="http://schemas.openxmlformats.org/officeDocument/2006/relationships/hyperlink" Target="https://www.bafu.admin.ch/dam/bafu/en/dokumente/international/fachinfo-daten/Implementing%20Agreement%20to%20the%20Paris%20Agreemen_%20PE_CH_Signed.pdf.download.pdf/Implementing%20Agreement%20to%20the%20Paris%20Agreemen_%20PE_CH_Signed.pdf" TargetMode="External"/><Relationship Id="rId19" Type="http://schemas.openxmlformats.org/officeDocument/2006/relationships/hyperlink" Target="https://www.jcm.go.jp/la-jp/about" TargetMode="External"/><Relationship Id="rId31" Type="http://schemas.openxmlformats.org/officeDocument/2006/relationships/hyperlink" Target="https://www.env.go.jp/en/press/press_00412.html" TargetMode="External"/><Relationship Id="rId44" Type="http://schemas.openxmlformats.org/officeDocument/2006/relationships/hyperlink" Target="https://www.mse.gov.sg/resource-room/category/2023-06-06-ecosperity-week-2023" TargetMode="External"/><Relationship Id="rId52" Type="http://schemas.openxmlformats.org/officeDocument/2006/relationships/hyperlink" Target="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 TargetMode="External"/><Relationship Id="rId60" Type="http://schemas.openxmlformats.org/officeDocument/2006/relationships/vmlDrawing" Target="../drawings/vmlDrawing1.vml"/><Relationship Id="rId4" Type="http://schemas.openxmlformats.org/officeDocument/2006/relationships/hyperlink" Target="https://www.mse.gov.sg/resource-room/category/2023-06-09-press-release-singapore-mongolia-mou-carbon-credits" TargetMode="External"/><Relationship Id="rId9" Type="http://schemas.openxmlformats.org/officeDocument/2006/relationships/hyperlink" Target="https://carbon-pulse.com/178909/" TargetMode="External"/><Relationship Id="rId14" Type="http://schemas.openxmlformats.org/officeDocument/2006/relationships/hyperlink" Target="https://www.jcm.go.jp/bd-jp/about" TargetMode="External"/><Relationship Id="rId22" Type="http://schemas.openxmlformats.org/officeDocument/2006/relationships/hyperlink" Target="https://www.jcm.go.jp/pw-jp/about" TargetMode="External"/><Relationship Id="rId27" Type="http://schemas.openxmlformats.org/officeDocument/2006/relationships/hyperlink" Target="https://www.jcm.go.jp/mm-jp/about" TargetMode="External"/><Relationship Id="rId30" Type="http://schemas.openxmlformats.org/officeDocument/2006/relationships/hyperlink" Target="https://www.env.go.jp/en/press/press_00492.html" TargetMode="External"/><Relationship Id="rId35" Type="http://schemas.openxmlformats.org/officeDocument/2006/relationships/hyperlink" Target="https://www.env.go.jp/en/press/press_00444.html" TargetMode="External"/><Relationship Id="rId43" Type="http://schemas.openxmlformats.org/officeDocument/2006/relationships/hyperlink" Target="https://carbon-pulse.com/175705/" TargetMode="External"/><Relationship Id="rId48" Type="http://schemas.openxmlformats.org/officeDocument/2006/relationships/hyperlink" Target="https://www.dcceew.gov.au/climate-change/international-commitments/indo-pacific-region" TargetMode="External"/><Relationship Id="rId56" Type="http://schemas.openxmlformats.org/officeDocument/2006/relationships/hyperlink" Target="https://www.bafu.admin.ch/dam/bafu/en/dokumente/international/fachinfo-daten/Joint%20Declaration%20Switzerland%20Chile%20on%20Article%206%20Cooperation%20at%20Local%20Level.pdf.download.pdf/Joint%20Declaration%20Switzerland%20Chile%20on%20Article%206%20Cooperation%20at%20Local%20Level.pdf" TargetMode="External"/><Relationship Id="rId8" Type="http://schemas.openxmlformats.org/officeDocument/2006/relationships/hyperlink" Target="https://www.mofa.go.kr/eng/brd/m_5676/view.do?seq=321700" TargetMode="External"/><Relationship Id="rId51" Type="http://schemas.openxmlformats.org/officeDocument/2006/relationships/hyperlink" Target="https://www.bafu.admin.ch/dam/bafu/en/dokumente/international/fachinfo-daten/Implementing%20Agreement%20to%20the%20Paris%20Agreement%20between%20the%20Swiss%20Confederation%20and%20the%20Commonwealth%20of%20Dominica.pdf.download.pdf/Implementing%20Agreement%20to%20the%20Paris%20Agreement%20between%20the%20Swiss%20Confederation%20and%20the%20Commonwealth%20of%20Dominica.pdf" TargetMode="External"/><Relationship Id="rId3" Type="http://schemas.openxmlformats.org/officeDocument/2006/relationships/hyperlink" Target="https://www.mse.gov.sg/resource-room/category/2022-11-18-speech-by-minister-grace-fu-mou-signing-peru" TargetMode="External"/><Relationship Id="rId12" Type="http://schemas.openxmlformats.org/officeDocument/2006/relationships/hyperlink" Target="https://www.bafu.admin.ch/dam/bafu/en/dokumente/international/fachinfo-daten/durchfuehrungsabkommen-zum-uebereinkommen-von-paris-zwischen-der-schweizerischen-eidgenossenschaft-und-der-republik-oestlich-des-uruguay.pdf.download.pdf/Implementing%20Agreement%20to%20the%20Paris%20Agreement%20between%20the%20Swiss%20Confederation%20and%20the%20Oriental%20Republic%20of%20Uruguay%20-%20English.pdf" TargetMode="External"/><Relationship Id="rId17" Type="http://schemas.openxmlformats.org/officeDocument/2006/relationships/hyperlink" Target="https://www.jcm.go.jp/mv-jp/about" TargetMode="External"/><Relationship Id="rId25" Type="http://schemas.openxmlformats.org/officeDocument/2006/relationships/hyperlink" Target="https://www.jcm.go.jp/sa-jp/about" TargetMode="External"/><Relationship Id="rId33" Type="http://schemas.openxmlformats.org/officeDocument/2006/relationships/hyperlink" Target="https://www.env.go.jp/en/press/press_00510.html" TargetMode="External"/><Relationship Id="rId38" Type="http://schemas.openxmlformats.org/officeDocument/2006/relationships/hyperlink" Target="https://www.env.go.jp/en/press/press_01346.html" TargetMode="External"/><Relationship Id="rId46" Type="http://schemas.openxmlformats.org/officeDocument/2006/relationships/hyperlink" Target="https://carbon-pulse.com/207193/" TargetMode="External"/><Relationship Id="rId5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newclimate.org/2020/01/29/renewable-heating-virtual-article-6-pilot-ground-source-heat-pumps-in-khovd-mongolia/" TargetMode="External"/><Relationship Id="rId3" Type="http://schemas.openxmlformats.org/officeDocument/2006/relationships/hyperlink" Target="http://www.energimyndigheten.se/globalassets/webb-en/cooperation/virtual-pilot-executive-summary-mongolia-nci.pdf" TargetMode="External"/><Relationship Id="rId7" Type="http://schemas.openxmlformats.org/officeDocument/2006/relationships/hyperlink" Target="https://newclimate.org/2020/01/29/net-zero-energy-housing-virtual-article-6-pilot-net-zero-energy-buildings-in-cartagena-colombia/" TargetMode="External"/><Relationship Id="rId12" Type="http://schemas.openxmlformats.org/officeDocument/2006/relationships/table" Target="../tables/table4.xml"/><Relationship Id="rId2" Type="http://schemas.openxmlformats.org/officeDocument/2006/relationships/hyperlink" Target="http://www.energimyndigheten.se/globalassets/webb-en/cooperation/virtual-pilot-executive-summary-chile-ccap.pdf" TargetMode="External"/><Relationship Id="rId1" Type="http://schemas.openxmlformats.org/officeDocument/2006/relationships/hyperlink" Target="http://www.energimyndigheten.se/contentassets/ada6a4c96afb4b788f9c08e7742d565f/virtual-pilot-executive-summary-colombia-sp-1.pdf" TargetMode="External"/><Relationship Id="rId6" Type="http://schemas.openxmlformats.org/officeDocument/2006/relationships/hyperlink" Target="http://www.energimyndigheten.se/globalassets/webb-en/cooperation/virtual-pilot-policy-brief-nigeria-cf.pdf" TargetMode="External"/><Relationship Id="rId11" Type="http://schemas.openxmlformats.org/officeDocument/2006/relationships/drawing" Target="../drawings/drawing2.xml"/><Relationship Id="rId5" Type="http://schemas.openxmlformats.org/officeDocument/2006/relationships/hyperlink" Target="http://www.energimyndigheten.se/globalassets/webb-en/cooperation/virtual-pilot-policy-brief-indonesia.pdf" TargetMode="External"/><Relationship Id="rId10" Type="http://schemas.openxmlformats.org/officeDocument/2006/relationships/hyperlink" Target="https://www.southpole.com/blog/project-development-article-6-pilots" TargetMode="External"/><Relationship Id="rId4" Type="http://schemas.openxmlformats.org/officeDocument/2006/relationships/hyperlink" Target="http://www.energimyndigheten.se/globalassets/webb-en/cooperation/virtual-pilot-executive-summary-philippines-ccap.pdf" TargetMode="External"/><Relationship Id="rId9" Type="http://schemas.openxmlformats.org/officeDocument/2006/relationships/hyperlink" Target="https://www.southpole.com/blog/project-development-article-6-pilots"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4.bin"/><Relationship Id="rId1" Type="http://schemas.openxmlformats.org/officeDocument/2006/relationships/hyperlink" Target="https://unfccc.int/process-and-meetings/the-paris-agreement/article-64-mechanism/national-authoriti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fdb.org/en/topics-and-sectors/initiatives-partnerships/adaptation-benefit-mechanism-abm" TargetMode="External"/><Relationship Id="rId13" Type="http://schemas.openxmlformats.org/officeDocument/2006/relationships/hyperlink" Target="https://www.giz.de/en/worldwide/42196.html" TargetMode="External"/><Relationship Id="rId18" Type="http://schemas.openxmlformats.org/officeDocument/2006/relationships/hyperlink" Target="https://www.klik.ch/en" TargetMode="External"/><Relationship Id="rId26" Type="http://schemas.openxmlformats.org/officeDocument/2006/relationships/hyperlink" Target="https://easternafricaalliance.org/" TargetMode="External"/><Relationship Id="rId3" Type="http://schemas.openxmlformats.org/officeDocument/2006/relationships/hyperlink" Target="https://www.adb.org/projects/50404-001/main" TargetMode="External"/><Relationship Id="rId21" Type="http://schemas.openxmlformats.org/officeDocument/2006/relationships/hyperlink" Target="https://www.klimarappen.ch/en/.48.html" TargetMode="External"/><Relationship Id="rId34" Type="http://schemas.openxmlformats.org/officeDocument/2006/relationships/hyperlink" Target="mailto:karen.olsen@un.org" TargetMode="External"/><Relationship Id="rId7" Type="http://schemas.openxmlformats.org/officeDocument/2006/relationships/hyperlink" Target="https://gggi.org/global-program/carbon-pricing-unit-cpu/" TargetMode="External"/><Relationship Id="rId12" Type="http://schemas.openxmlformats.org/officeDocument/2006/relationships/hyperlink" Target="https://pmiclimate.org/blog/unlocking-ambition-through-climate-market-club" TargetMode="External"/><Relationship Id="rId17" Type="http://schemas.openxmlformats.org/officeDocument/2006/relationships/hyperlink" Target="https://www.env.go.jp/en/press/press_01393.html" TargetMode="External"/><Relationship Id="rId25" Type="http://schemas.openxmlformats.org/officeDocument/2006/relationships/hyperlink" Target="https://unfccc.int/about-us/regional-collaboration-centres/the-collaborative-instruments-for-ambitious-climate-action-ciaca" TargetMode="External"/><Relationship Id="rId33" Type="http://schemas.openxmlformats.org/officeDocument/2006/relationships/hyperlink" Target="https://unepccc.org/project/integrated-assessment-for-article-6-iaa6/" TargetMode="External"/><Relationship Id="rId2" Type="http://schemas.openxmlformats.org/officeDocument/2006/relationships/hyperlink" Target="https://gggi.org/global-program/carbon-pricing-unit-cpu/" TargetMode="External"/><Relationship Id="rId16" Type="http://schemas.openxmlformats.org/officeDocument/2006/relationships/hyperlink" Target="https://www.climatefinanceinnovators.com/project-background/" TargetMode="External"/><Relationship Id="rId20" Type="http://schemas.openxmlformats.org/officeDocument/2006/relationships/hyperlink" Target="https://www.cbitplatform.org/about" TargetMode="External"/><Relationship Id="rId29" Type="http://schemas.openxmlformats.org/officeDocument/2006/relationships/hyperlink" Target="https://climatepromise.undp.org/tags/ndc-support-programme" TargetMode="External"/><Relationship Id="rId1" Type="http://schemas.openxmlformats.org/officeDocument/2006/relationships/hyperlink" Target="mailto:stephan.gill@gggi.org" TargetMode="External"/><Relationship Id="rId6" Type="http://schemas.openxmlformats.org/officeDocument/2006/relationships/hyperlink" Target="mailto:marshall.brown@gggi.org" TargetMode="External"/><Relationship Id="rId11" Type="http://schemas.openxmlformats.org/officeDocument/2006/relationships/hyperlink" Target="https://www.ebrd.com/work-with-us/procurement/pn-49824.html" TargetMode="External"/><Relationship Id="rId24" Type="http://schemas.openxmlformats.org/officeDocument/2006/relationships/hyperlink" Target="https://www.goldstandard.org/blog-item/article-6-early-mover-programme" TargetMode="External"/><Relationship Id="rId32" Type="http://schemas.openxmlformats.org/officeDocument/2006/relationships/hyperlink" Target="https://www.ci-dev.org/standardized-crediting-framework" TargetMode="External"/><Relationship Id="rId37" Type="http://schemas.openxmlformats.org/officeDocument/2006/relationships/table" Target="../tables/table7.xml"/><Relationship Id="rId5" Type="http://schemas.openxmlformats.org/officeDocument/2006/relationships/hyperlink" Target="https://gggi.org/global-program/carbon-pricing-unit-cpu/" TargetMode="External"/><Relationship Id="rId15" Type="http://schemas.openxmlformats.org/officeDocument/2006/relationships/hyperlink" Target="https://climatechampions.unfccc.int/africa-carbon-markets-initiative-announces-13-action-programs/" TargetMode="External"/><Relationship Id="rId23" Type="http://schemas.openxmlformats.org/officeDocument/2006/relationships/hyperlink" Target="https://westafricaclimatealliance.org/" TargetMode="External"/><Relationship Id="rId28" Type="http://schemas.openxmlformats.org/officeDocument/2006/relationships/hyperlink" Target="https://unepccc.org/project/sustainable-development-dialogue-on-the-implementation-of-article-6-of-the-paris-agreement-under-the-unfccc-process/" TargetMode="External"/><Relationship Id="rId36" Type="http://schemas.openxmlformats.org/officeDocument/2006/relationships/drawing" Target="../drawings/drawing3.xml"/><Relationship Id="rId10" Type="http://schemas.openxmlformats.org/officeDocument/2006/relationships/hyperlink" Target="https://www.theclimatewarehouse.org/" TargetMode="External"/><Relationship Id="rId19" Type="http://schemas.openxmlformats.org/officeDocument/2006/relationships/hyperlink" Target="https://cpf.wbcarbonfinance.org/" TargetMode="External"/><Relationship Id="rId31" Type="http://schemas.openxmlformats.org/officeDocument/2006/relationships/hyperlink" Target="https://maap.worldbank.org/" TargetMode="External"/><Relationship Id="rId4" Type="http://schemas.openxmlformats.org/officeDocument/2006/relationships/hyperlink" Target="mailto:ximena.aristizabal@gggi.org" TargetMode="External"/><Relationship Id="rId9" Type="http://schemas.openxmlformats.org/officeDocument/2006/relationships/hyperlink" Target="https://tcaf.worldbank.org/about-tcaf" TargetMode="External"/><Relationship Id="rId14" Type="http://schemas.openxmlformats.org/officeDocument/2006/relationships/hyperlink" Target="https://www.giz.de/en/worldwide/42190.html" TargetMode="External"/><Relationship Id="rId22" Type="http://schemas.openxmlformats.org/officeDocument/2006/relationships/hyperlink" Target="https://www.canada.ca/en/environment-climate-change/corporate/international-affairs/partnerships-countries-regions/latin-america-caribbean/canada-chile-environmental-cooperation.html" TargetMode="External"/><Relationship Id="rId27" Type="http://schemas.openxmlformats.org/officeDocument/2006/relationships/hyperlink" Target="https://www.nefco.int/financing/other-regions/nordic-initiative-for-cooperative-approaches/nefco-carbon-market-activities/previous-nefco-carbon-financing-activities/" TargetMode="External"/><Relationship Id="rId30" Type="http://schemas.openxmlformats.org/officeDocument/2006/relationships/hyperlink" Target="https://www.theclimatewarehouse.org/work/climate-market-club" TargetMode="External"/><Relationship Id="rId35"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Q46"/>
  <sheetViews>
    <sheetView showGridLines="0" tabSelected="1" zoomScale="85" zoomScaleNormal="80" workbookViewId="0">
      <pane xSplit="3" ySplit="4" topLeftCell="H5" activePane="bottomRight" state="frozen"/>
      <selection pane="topRight" activeCell="D1" sqref="D1"/>
      <selection pane="bottomLeft" activeCell="A5" sqref="A5"/>
      <selection pane="bottomRight" activeCell="H10" sqref="H10"/>
    </sheetView>
  </sheetViews>
  <sheetFormatPr defaultColWidth="9.26953125" defaultRowHeight="14" outlineLevelCol="1" x14ac:dyDescent="0.3"/>
  <cols>
    <col min="1" max="1" width="10.453125" style="70" customWidth="1"/>
    <col min="2" max="2" width="45.54296875" style="5" customWidth="1"/>
    <col min="3" max="3" width="27" style="3" customWidth="1"/>
    <col min="4" max="5" width="27" style="3" customWidth="1" outlineLevel="1"/>
    <col min="6" max="6" width="24.54296875" style="3" customWidth="1"/>
    <col min="7" max="7" width="38.453125" style="3" customWidth="1"/>
    <col min="8" max="8" width="40" style="3" customWidth="1"/>
    <col min="9" max="9" width="13.26953125" style="6" customWidth="1"/>
    <col min="10" max="10" width="55.453125" style="1" customWidth="1"/>
    <col min="11" max="11" width="34.453125" style="1" customWidth="1"/>
    <col min="12" max="12" width="28.54296875" style="1" customWidth="1"/>
    <col min="13" max="13" width="33.54296875" style="1" customWidth="1"/>
    <col min="14" max="14" width="16.81640625" style="1" customWidth="1"/>
    <col min="15" max="15" width="71.54296875" style="7" customWidth="1"/>
    <col min="16" max="16" width="34.26953125" style="1" customWidth="1"/>
    <col min="17" max="17" width="129.453125" style="3" customWidth="1"/>
    <col min="18" max="16384" width="9.26953125" style="1"/>
  </cols>
  <sheetData>
    <row r="1" spans="1:17" x14ac:dyDescent="0.3">
      <c r="A1" s="1" t="s">
        <v>1763</v>
      </c>
      <c r="C1" s="1"/>
      <c r="D1" s="1"/>
      <c r="E1" s="1"/>
    </row>
    <row r="2" spans="1:17" ht="16.5" customHeight="1" x14ac:dyDescent="0.35">
      <c r="A2" s="60" t="s">
        <v>0</v>
      </c>
      <c r="B2" s="8"/>
      <c r="C2" s="1"/>
      <c r="D2" s="1"/>
      <c r="E2" s="1"/>
      <c r="F2" s="9"/>
      <c r="G2" s="10"/>
      <c r="H2" s="10"/>
      <c r="I2" s="11"/>
      <c r="J2" s="12"/>
      <c r="K2" s="12"/>
      <c r="L2" s="12"/>
      <c r="M2" s="12"/>
      <c r="N2" s="12"/>
      <c r="O2" s="13"/>
    </row>
    <row r="3" spans="1:17" ht="16.5" customHeight="1" x14ac:dyDescent="0.3">
      <c r="C3" s="9"/>
      <c r="D3" s="9"/>
      <c r="E3" s="9"/>
      <c r="F3" s="9"/>
      <c r="G3" s="10"/>
      <c r="H3" s="10"/>
      <c r="I3" s="11"/>
      <c r="J3" s="12"/>
      <c r="K3" s="12"/>
      <c r="L3" s="12"/>
      <c r="M3" s="12"/>
      <c r="N3" s="12"/>
      <c r="O3" s="13"/>
    </row>
    <row r="4" spans="1:17" s="15" customFormat="1" ht="30.75" customHeight="1" x14ac:dyDescent="0.3">
      <c r="A4" s="69" t="s">
        <v>1</v>
      </c>
      <c r="B4" s="59" t="s">
        <v>2</v>
      </c>
      <c r="C4" s="59" t="s">
        <v>3</v>
      </c>
      <c r="D4" s="59" t="s">
        <v>4</v>
      </c>
      <c r="E4" s="59" t="s">
        <v>5</v>
      </c>
      <c r="F4" s="59" t="s">
        <v>6</v>
      </c>
      <c r="G4" s="59" t="s">
        <v>7</v>
      </c>
      <c r="H4" s="57" t="s">
        <v>8</v>
      </c>
      <c r="I4" s="58" t="s">
        <v>9</v>
      </c>
      <c r="J4" s="59" t="s">
        <v>10</v>
      </c>
      <c r="K4" s="59" t="s">
        <v>11</v>
      </c>
      <c r="L4" s="59" t="s">
        <v>12</v>
      </c>
      <c r="M4" s="59" t="s">
        <v>13</v>
      </c>
      <c r="N4" s="59" t="s">
        <v>14</v>
      </c>
      <c r="O4" s="59" t="s">
        <v>15</v>
      </c>
      <c r="P4" s="61" t="s">
        <v>16</v>
      </c>
      <c r="Q4" s="61" t="s">
        <v>17</v>
      </c>
    </row>
    <row r="5" spans="1:17" s="15" customFormat="1" ht="30.75" customHeight="1" x14ac:dyDescent="0.3">
      <c r="A5" s="71" t="s">
        <v>18</v>
      </c>
      <c r="B5" s="5" t="s">
        <v>19</v>
      </c>
      <c r="C5" s="5" t="s">
        <v>20</v>
      </c>
      <c r="D5" s="46" t="str">
        <f>VLOOKUP(Pilots[[#This Row],[Host country]],Country_Mapping[],COLUMN(Country_Mapping[[#Headers],[Region]]),0)</f>
        <v>Asia</v>
      </c>
      <c r="E5" s="46" t="str">
        <f>VLOOKUP(Pilots[[#This Row],[Host country]],Country_Mapping[],COLUMN(Country_Mapping[[#Headers],[Sub-region]]),0)</f>
        <v>Southeast Asia</v>
      </c>
      <c r="F5" s="5" t="s">
        <v>21</v>
      </c>
      <c r="G5" s="5" t="s">
        <v>22</v>
      </c>
      <c r="H5" s="5" t="s">
        <v>23</v>
      </c>
      <c r="I5" s="63">
        <f>500000/8/1000</f>
        <v>62.5</v>
      </c>
      <c r="J5" s="16" t="s">
        <v>24</v>
      </c>
      <c r="K5" s="5" t="s">
        <v>25</v>
      </c>
      <c r="L5" s="16" t="s">
        <v>26</v>
      </c>
      <c r="M5" s="16"/>
      <c r="N5" s="16" t="s">
        <v>27</v>
      </c>
      <c r="O5" s="50" t="s">
        <v>28</v>
      </c>
      <c r="P5" s="5" t="s">
        <v>29</v>
      </c>
      <c r="Q5" s="5" t="s">
        <v>30</v>
      </c>
    </row>
    <row r="6" spans="1:17" s="16" customFormat="1" ht="53.25" customHeight="1" x14ac:dyDescent="0.25">
      <c r="A6" s="71" t="s">
        <v>31</v>
      </c>
      <c r="B6" s="5" t="s">
        <v>32</v>
      </c>
      <c r="C6" s="5" t="s">
        <v>33</v>
      </c>
      <c r="D6" s="46" t="str">
        <f>VLOOKUP(Pilots[[#This Row],[Host country]],Country_Mapping[],COLUMN(Country_Mapping[[#Headers],[Region]]),0)</f>
        <v>Africa</v>
      </c>
      <c r="E6" s="46" t="str">
        <f>VLOOKUP(Pilots[[#This Row],[Host country]],Country_Mapping[],COLUMN(Country_Mapping[[#Headers],[Sub-region]]),0)</f>
        <v>Western Africa</v>
      </c>
      <c r="F6" s="5"/>
      <c r="G6" s="5" t="s">
        <v>34</v>
      </c>
      <c r="H6" s="5" t="s">
        <v>35</v>
      </c>
      <c r="I6" s="62" t="s">
        <v>36</v>
      </c>
      <c r="J6" s="16" t="s">
        <v>37</v>
      </c>
      <c r="K6" s="5" t="s">
        <v>38</v>
      </c>
      <c r="L6" s="16" t="s">
        <v>26</v>
      </c>
      <c r="N6" s="16" t="s">
        <v>27</v>
      </c>
      <c r="O6" s="50" t="s">
        <v>39</v>
      </c>
      <c r="P6" s="16" t="s">
        <v>40</v>
      </c>
      <c r="Q6" s="5" t="s">
        <v>41</v>
      </c>
    </row>
    <row r="7" spans="1:17" s="16" customFormat="1" ht="50.25" customHeight="1" x14ac:dyDescent="0.25">
      <c r="A7" s="71" t="s">
        <v>42</v>
      </c>
      <c r="B7" s="5" t="s">
        <v>43</v>
      </c>
      <c r="C7" s="5" t="s">
        <v>33</v>
      </c>
      <c r="D7" s="46" t="str">
        <f>VLOOKUP(Pilots[[#This Row],[Host country]],Country_Mapping[],COLUMN(Country_Mapping[[#Headers],[Region]]),0)</f>
        <v>Africa</v>
      </c>
      <c r="E7" s="46" t="str">
        <f>VLOOKUP(Pilots[[#This Row],[Host country]],Country_Mapping[],COLUMN(Country_Mapping[[#Headers],[Sub-region]]),0)</f>
        <v>Western Africa</v>
      </c>
      <c r="F7" s="5"/>
      <c r="G7" s="5" t="s">
        <v>44</v>
      </c>
      <c r="H7" s="5" t="s">
        <v>45</v>
      </c>
      <c r="I7" s="62" t="s">
        <v>36</v>
      </c>
      <c r="K7" s="16" t="s">
        <v>46</v>
      </c>
      <c r="L7" s="16" t="s">
        <v>26</v>
      </c>
      <c r="N7" s="16" t="s">
        <v>27</v>
      </c>
      <c r="O7" s="64" t="s">
        <v>39</v>
      </c>
      <c r="P7" s="16" t="s">
        <v>40</v>
      </c>
      <c r="Q7" s="5" t="s">
        <v>47</v>
      </c>
    </row>
    <row r="8" spans="1:17" s="16" customFormat="1" ht="39" customHeight="1" x14ac:dyDescent="0.25">
      <c r="A8" s="71" t="s">
        <v>48</v>
      </c>
      <c r="B8" s="5" t="s">
        <v>49</v>
      </c>
      <c r="C8" s="5" t="s">
        <v>33</v>
      </c>
      <c r="D8" s="46" t="str">
        <f>VLOOKUP(Pilots[[#This Row],[Host country]],Country_Mapping[],COLUMN(Country_Mapping[[#Headers],[Region]]),0)</f>
        <v>Africa</v>
      </c>
      <c r="E8" s="46" t="str">
        <f>VLOOKUP(Pilots[[#This Row],[Host country]],Country_Mapping[],COLUMN(Country_Mapping[[#Headers],[Sub-region]]),0)</f>
        <v>Western Africa</v>
      </c>
      <c r="F8" s="5"/>
      <c r="G8" s="5" t="s">
        <v>22</v>
      </c>
      <c r="H8" s="5" t="s">
        <v>23</v>
      </c>
      <c r="I8" s="62" t="s">
        <v>36</v>
      </c>
      <c r="K8" s="16" t="s">
        <v>50</v>
      </c>
      <c r="L8" s="16" t="s">
        <v>26</v>
      </c>
      <c r="N8" s="16" t="s">
        <v>27</v>
      </c>
      <c r="O8" s="50" t="s">
        <v>51</v>
      </c>
      <c r="P8" s="16" t="s">
        <v>40</v>
      </c>
      <c r="Q8" s="5" t="s">
        <v>52</v>
      </c>
    </row>
    <row r="9" spans="1:17" s="16" customFormat="1" ht="33" customHeight="1" x14ac:dyDescent="0.25">
      <c r="A9" s="71" t="s">
        <v>53</v>
      </c>
      <c r="B9" s="5" t="s">
        <v>54</v>
      </c>
      <c r="C9" s="5" t="s">
        <v>55</v>
      </c>
      <c r="D9" s="46" t="str">
        <f>VLOOKUP(Pilots[[#This Row],[Host country]],Country_Mapping[],COLUMN(Country_Mapping[[#Headers],[Region]]),0)</f>
        <v>Africa</v>
      </c>
      <c r="E9" s="46" t="str">
        <f>VLOOKUP(Pilots[[#This Row],[Host country]],Country_Mapping[],COLUMN(Country_Mapping[[#Headers],[Sub-region]]),0)</f>
        <v>Western Africa</v>
      </c>
      <c r="F9" s="5"/>
      <c r="G9" s="5" t="s">
        <v>56</v>
      </c>
      <c r="H9" s="5" t="s">
        <v>57</v>
      </c>
      <c r="I9" s="65">
        <f>0.75/8*1000</f>
        <v>93.75</v>
      </c>
      <c r="J9" s="16" t="s">
        <v>37</v>
      </c>
      <c r="K9" s="16" t="s">
        <v>58</v>
      </c>
      <c r="L9" s="16" t="s">
        <v>26</v>
      </c>
      <c r="N9" s="16" t="s">
        <v>27</v>
      </c>
      <c r="O9" s="64" t="s">
        <v>39</v>
      </c>
      <c r="P9" s="16" t="s">
        <v>40</v>
      </c>
      <c r="Q9" s="5" t="s">
        <v>59</v>
      </c>
    </row>
    <row r="10" spans="1:17" s="16" customFormat="1" ht="33" customHeight="1" x14ac:dyDescent="0.25">
      <c r="A10" s="71" t="s">
        <v>60</v>
      </c>
      <c r="B10" s="5" t="s">
        <v>61</v>
      </c>
      <c r="C10" s="5" t="s">
        <v>55</v>
      </c>
      <c r="D10" s="46" t="str">
        <f>VLOOKUP(Pilots[[#This Row],[Host country]],Country_Mapping[],COLUMN(Country_Mapping[[#Headers],[Region]]),0)</f>
        <v>Africa</v>
      </c>
      <c r="E10" s="46" t="str">
        <f>VLOOKUP(Pilots[[#This Row],[Host country]],Country_Mapping[],COLUMN(Country_Mapping[[#Headers],[Sub-region]]),0)</f>
        <v>Western Africa</v>
      </c>
      <c r="F10" s="5"/>
      <c r="G10" s="5" t="s">
        <v>62</v>
      </c>
      <c r="H10" s="5" t="s">
        <v>63</v>
      </c>
      <c r="I10" s="62" t="s">
        <v>36</v>
      </c>
      <c r="K10" s="16" t="s">
        <v>64</v>
      </c>
      <c r="L10" s="16" t="s">
        <v>26</v>
      </c>
      <c r="N10" s="16" t="s">
        <v>27</v>
      </c>
      <c r="O10" s="50" t="s">
        <v>65</v>
      </c>
      <c r="P10" s="16" t="s">
        <v>40</v>
      </c>
      <c r="Q10" s="5" t="s">
        <v>66</v>
      </c>
    </row>
    <row r="11" spans="1:17" s="16" customFormat="1" ht="28" x14ac:dyDescent="0.25">
      <c r="A11" s="71" t="s">
        <v>67</v>
      </c>
      <c r="B11" s="5" t="s">
        <v>68</v>
      </c>
      <c r="C11" s="5" t="s">
        <v>69</v>
      </c>
      <c r="D11" s="46" t="str">
        <f>VLOOKUP(Pilots[[#This Row],[Host country]],Country_Mapping[],COLUMN(Country_Mapping[[#Headers],[Region]]),0)</f>
        <v>Americas</v>
      </c>
      <c r="E11" s="46" t="str">
        <f>VLOOKUP(Pilots[[#This Row],[Host country]],Country_Mapping[],COLUMN(Country_Mapping[[#Headers],[Sub-region]]),0)</f>
        <v>South America</v>
      </c>
      <c r="F11" s="5"/>
      <c r="G11" s="5" t="s">
        <v>70</v>
      </c>
      <c r="H11" s="5"/>
      <c r="I11" s="65">
        <f>0.75/8*1000</f>
        <v>93.75</v>
      </c>
      <c r="K11" s="16" t="s">
        <v>71</v>
      </c>
      <c r="L11" s="16" t="s">
        <v>26</v>
      </c>
      <c r="N11" s="16" t="s">
        <v>27</v>
      </c>
      <c r="O11" s="50" t="s">
        <v>39</v>
      </c>
      <c r="P11" s="16" t="s">
        <v>40</v>
      </c>
      <c r="Q11" s="5" t="s">
        <v>72</v>
      </c>
    </row>
    <row r="12" spans="1:17" s="16" customFormat="1" ht="33" customHeight="1" x14ac:dyDescent="0.25">
      <c r="A12" s="71" t="s">
        <v>73</v>
      </c>
      <c r="B12" s="5" t="s">
        <v>74</v>
      </c>
      <c r="C12" s="5" t="s">
        <v>69</v>
      </c>
      <c r="D12" s="46" t="str">
        <f>VLOOKUP(Pilots[[#This Row],[Host country]],Country_Mapping[],COLUMN(Country_Mapping[[#Headers],[Region]]),0)</f>
        <v>Americas</v>
      </c>
      <c r="E12" s="46" t="str">
        <f>VLOOKUP(Pilots[[#This Row],[Host country]],Country_Mapping[],COLUMN(Country_Mapping[[#Headers],[Sub-region]]),0)</f>
        <v>South America</v>
      </c>
      <c r="F12" s="5"/>
      <c r="G12" s="5" t="s">
        <v>62</v>
      </c>
      <c r="H12" s="5" t="s">
        <v>63</v>
      </c>
      <c r="I12" s="62" t="s">
        <v>36</v>
      </c>
      <c r="K12" s="16" t="s">
        <v>75</v>
      </c>
      <c r="L12" s="16" t="s">
        <v>26</v>
      </c>
      <c r="N12" s="16" t="s">
        <v>27</v>
      </c>
      <c r="O12" s="50" t="s">
        <v>76</v>
      </c>
      <c r="P12" s="16" t="s">
        <v>40</v>
      </c>
      <c r="Q12" s="5" t="s">
        <v>77</v>
      </c>
    </row>
    <row r="13" spans="1:17" s="16" customFormat="1" ht="34.15" customHeight="1" x14ac:dyDescent="0.25">
      <c r="A13" s="71" t="s">
        <v>78</v>
      </c>
      <c r="B13" s="5" t="s">
        <v>79</v>
      </c>
      <c r="C13" s="5" t="s">
        <v>80</v>
      </c>
      <c r="D13" s="46" t="str">
        <f>VLOOKUP(Pilots[[#This Row],[Host country]],Country_Mapping[],COLUMN(Country_Mapping[[#Headers],[Region]]),0)</f>
        <v>Africa</v>
      </c>
      <c r="E13" s="46" t="str">
        <f>VLOOKUP(Pilots[[#This Row],[Host country]],Country_Mapping[],COLUMN(Country_Mapping[[#Headers],[Sub-region]]),0)</f>
        <v>Northern Africa</v>
      </c>
      <c r="F13" s="5"/>
      <c r="G13" s="5" t="s">
        <v>81</v>
      </c>
      <c r="H13" s="5" t="s">
        <v>82</v>
      </c>
      <c r="I13" s="62" t="s">
        <v>36</v>
      </c>
      <c r="K13" s="5" t="s">
        <v>83</v>
      </c>
      <c r="L13" s="16" t="s">
        <v>26</v>
      </c>
      <c r="N13" s="16" t="s">
        <v>27</v>
      </c>
      <c r="O13" s="50" t="s">
        <v>39</v>
      </c>
      <c r="P13" s="16" t="s">
        <v>40</v>
      </c>
      <c r="Q13" s="5" t="s">
        <v>84</v>
      </c>
    </row>
    <row r="14" spans="1:17" s="16" customFormat="1" ht="28" x14ac:dyDescent="0.25">
      <c r="A14" s="71" t="s">
        <v>85</v>
      </c>
      <c r="B14" s="5" t="s">
        <v>86</v>
      </c>
      <c r="C14" s="5" t="s">
        <v>80</v>
      </c>
      <c r="D14" s="46" t="str">
        <f>VLOOKUP(Pilots[[#This Row],[Host country]],Country_Mapping[],COLUMN(Country_Mapping[[#Headers],[Region]]),0)</f>
        <v>Africa</v>
      </c>
      <c r="E14" s="46" t="str">
        <f>VLOOKUP(Pilots[[#This Row],[Host country]],Country_Mapping[],COLUMN(Country_Mapping[[#Headers],[Sub-region]]),0)</f>
        <v>Northern Africa</v>
      </c>
      <c r="F14" s="5"/>
      <c r="G14" s="5" t="s">
        <v>70</v>
      </c>
      <c r="H14" s="5"/>
      <c r="I14" s="62" t="s">
        <v>36</v>
      </c>
      <c r="K14" s="16" t="s">
        <v>87</v>
      </c>
      <c r="L14" s="16" t="s">
        <v>26</v>
      </c>
      <c r="M14" s="5" t="s">
        <v>88</v>
      </c>
      <c r="N14" s="16" t="s">
        <v>27</v>
      </c>
      <c r="O14" s="64" t="s">
        <v>39</v>
      </c>
      <c r="P14" s="16" t="s">
        <v>40</v>
      </c>
      <c r="Q14" s="5" t="s">
        <v>89</v>
      </c>
    </row>
    <row r="15" spans="1:17" s="16" customFormat="1" ht="33.65" customHeight="1" x14ac:dyDescent="0.25">
      <c r="A15" s="71" t="s">
        <v>90</v>
      </c>
      <c r="B15" s="5" t="s">
        <v>91</v>
      </c>
      <c r="C15" s="5" t="s">
        <v>92</v>
      </c>
      <c r="D15" s="46" t="str">
        <f>VLOOKUP(Pilots[[#This Row],[Host country]],Country_Mapping[],COLUMN(Country_Mapping[[#Headers],[Region]]),0)</f>
        <v>Africa</v>
      </c>
      <c r="E15" s="46" t="str">
        <f>VLOOKUP(Pilots[[#This Row],[Host country]],Country_Mapping[],COLUMN(Country_Mapping[[#Headers],[Sub-region]]),0)</f>
        <v>Eastern Africa</v>
      </c>
      <c r="F15" s="5"/>
      <c r="G15" s="5" t="s">
        <v>81</v>
      </c>
      <c r="H15" s="5" t="s">
        <v>93</v>
      </c>
      <c r="I15" s="62" t="s">
        <v>36</v>
      </c>
      <c r="K15" s="16" t="s">
        <v>94</v>
      </c>
      <c r="L15" s="16" t="s">
        <v>26</v>
      </c>
      <c r="M15" s="5"/>
      <c r="N15" s="16" t="s">
        <v>27</v>
      </c>
      <c r="O15" s="50" t="s">
        <v>95</v>
      </c>
      <c r="P15" s="16" t="s">
        <v>40</v>
      </c>
      <c r="Q15" s="5" t="s">
        <v>96</v>
      </c>
    </row>
    <row r="16" spans="1:17" s="16" customFormat="1" ht="28" x14ac:dyDescent="0.25">
      <c r="A16" s="71" t="s">
        <v>97</v>
      </c>
      <c r="B16" s="5" t="s">
        <v>98</v>
      </c>
      <c r="C16" s="5" t="s">
        <v>99</v>
      </c>
      <c r="D16" s="46" t="str">
        <f>VLOOKUP(Pilots[[#This Row],[Host country]],Country_Mapping[],COLUMN(Country_Mapping[[#Headers],[Region]]),0)</f>
        <v>Americas</v>
      </c>
      <c r="E16" s="46" t="str">
        <f>VLOOKUP(Pilots[[#This Row],[Host country]],Country_Mapping[],COLUMN(Country_Mapping[[#Headers],[Sub-region]]),0)</f>
        <v>Caribbean</v>
      </c>
      <c r="F16" s="5"/>
      <c r="G16" s="5" t="s">
        <v>22</v>
      </c>
      <c r="H16" s="5" t="s">
        <v>23</v>
      </c>
      <c r="I16" s="62" t="s">
        <v>36</v>
      </c>
      <c r="K16" s="16" t="s">
        <v>100</v>
      </c>
      <c r="L16" s="16" t="s">
        <v>26</v>
      </c>
      <c r="M16" s="5"/>
      <c r="N16" s="16" t="s">
        <v>27</v>
      </c>
      <c r="O16" s="64" t="s">
        <v>39</v>
      </c>
      <c r="P16" s="16" t="s">
        <v>40</v>
      </c>
      <c r="Q16" s="5" t="s">
        <v>101</v>
      </c>
    </row>
    <row r="17" spans="1:17" s="16" customFormat="1" ht="56" x14ac:dyDescent="0.25">
      <c r="A17" s="71" t="s">
        <v>102</v>
      </c>
      <c r="B17" s="5" t="s">
        <v>103</v>
      </c>
      <c r="C17" s="5" t="s">
        <v>55</v>
      </c>
      <c r="D17" s="46" t="str">
        <f>VLOOKUP(Pilots[[#This Row],[Host country]],Country_Mapping[],COLUMN(Country_Mapping[[#Headers],[Region]]),0)</f>
        <v>Africa</v>
      </c>
      <c r="E17" s="46" t="str">
        <f>VLOOKUP(Pilots[[#This Row],[Host country]],Country_Mapping[],COLUMN(Country_Mapping[[#Headers],[Sub-region]]),0)</f>
        <v>Western Africa</v>
      </c>
      <c r="F17" s="5"/>
      <c r="G17" s="5" t="s">
        <v>104</v>
      </c>
      <c r="H17" s="5"/>
      <c r="I17" s="62" t="s">
        <v>36</v>
      </c>
      <c r="K17" s="5" t="s">
        <v>105</v>
      </c>
      <c r="L17" s="16" t="s">
        <v>106</v>
      </c>
      <c r="M17" s="5" t="s">
        <v>107</v>
      </c>
      <c r="N17" s="16" t="s">
        <v>27</v>
      </c>
      <c r="O17" s="50" t="s">
        <v>108</v>
      </c>
      <c r="P17" s="5"/>
      <c r="Q17" s="5" t="s">
        <v>109</v>
      </c>
    </row>
    <row r="18" spans="1:17" s="16" customFormat="1" ht="60" customHeight="1" x14ac:dyDescent="0.25">
      <c r="A18" s="71" t="s">
        <v>110</v>
      </c>
      <c r="B18" s="5" t="s">
        <v>111</v>
      </c>
      <c r="C18" s="5" t="s">
        <v>55</v>
      </c>
      <c r="D18" s="46" t="str">
        <f>VLOOKUP(Pilots[[#This Row],[Host country]],Country_Mapping[],COLUMN(Country_Mapping[[#Headers],[Region]]),0)</f>
        <v>Africa</v>
      </c>
      <c r="E18" s="46" t="str">
        <f>VLOOKUP(Pilots[[#This Row],[Host country]],Country_Mapping[],COLUMN(Country_Mapping[[#Headers],[Sub-region]]),0)</f>
        <v>Western Africa</v>
      </c>
      <c r="F18" s="5"/>
      <c r="G18" s="5" t="s">
        <v>112</v>
      </c>
      <c r="H18" s="5" t="s">
        <v>113</v>
      </c>
      <c r="I18" s="62" t="s">
        <v>36</v>
      </c>
      <c r="K18" s="5" t="s">
        <v>114</v>
      </c>
      <c r="L18" s="16" t="s">
        <v>115</v>
      </c>
      <c r="N18" s="16" t="s">
        <v>27</v>
      </c>
      <c r="O18" s="50" t="s">
        <v>116</v>
      </c>
      <c r="P18" s="5" t="s">
        <v>117</v>
      </c>
      <c r="Q18" s="5" t="s">
        <v>118</v>
      </c>
    </row>
    <row r="19" spans="1:17" s="16" customFormat="1" ht="28" x14ac:dyDescent="0.25">
      <c r="A19" s="71" t="s">
        <v>119</v>
      </c>
      <c r="B19" s="5" t="s">
        <v>120</v>
      </c>
      <c r="C19" s="5" t="s">
        <v>55</v>
      </c>
      <c r="D19" s="46" t="str">
        <f>VLOOKUP(Pilots[[#This Row],[Host country]],Country_Mapping[],COLUMN(Country_Mapping[[#Headers],[Region]]),0)</f>
        <v>Africa</v>
      </c>
      <c r="E19" s="46" t="str">
        <f>VLOOKUP(Pilots[[#This Row],[Host country]],Country_Mapping[],COLUMN(Country_Mapping[[#Headers],[Sub-region]]),0)</f>
        <v>Western Africa</v>
      </c>
      <c r="F19" s="5"/>
      <c r="G19" s="5" t="s">
        <v>34</v>
      </c>
      <c r="H19" s="5" t="s">
        <v>121</v>
      </c>
      <c r="I19" s="62" t="s">
        <v>36</v>
      </c>
      <c r="K19" s="5" t="s">
        <v>122</v>
      </c>
      <c r="N19" s="16" t="s">
        <v>27</v>
      </c>
      <c r="O19" s="67" t="s">
        <v>123</v>
      </c>
      <c r="P19" s="5"/>
      <c r="Q19" s="5" t="s">
        <v>124</v>
      </c>
    </row>
    <row r="20" spans="1:17" s="16" customFormat="1" ht="28" x14ac:dyDescent="0.25">
      <c r="A20" s="71" t="s">
        <v>125</v>
      </c>
      <c r="B20" s="5" t="s">
        <v>126</v>
      </c>
      <c r="C20" s="5" t="s">
        <v>55</v>
      </c>
      <c r="D20" s="46" t="str">
        <f>VLOOKUP(Pilots[[#This Row],[Host country]],Country_Mapping[],COLUMN(Country_Mapping[[#Headers],[Region]]),0)</f>
        <v>Africa</v>
      </c>
      <c r="E20" s="46" t="str">
        <f>VLOOKUP(Pilots[[#This Row],[Host country]],Country_Mapping[],COLUMN(Country_Mapping[[#Headers],[Sub-region]]),0)</f>
        <v>Western Africa</v>
      </c>
      <c r="F20" s="5"/>
      <c r="G20" s="5" t="s">
        <v>44</v>
      </c>
      <c r="H20" s="5"/>
      <c r="I20" s="62" t="s">
        <v>36</v>
      </c>
      <c r="K20" s="5"/>
      <c r="L20" s="16" t="s">
        <v>127</v>
      </c>
      <c r="N20" s="16" t="s">
        <v>27</v>
      </c>
      <c r="O20" s="67" t="s">
        <v>123</v>
      </c>
      <c r="P20" s="5"/>
      <c r="Q20" s="5" t="s">
        <v>128</v>
      </c>
    </row>
    <row r="21" spans="1:17" s="16" customFormat="1" ht="28" x14ac:dyDescent="0.25">
      <c r="A21" s="71" t="s">
        <v>129</v>
      </c>
      <c r="B21" s="5" t="s">
        <v>130</v>
      </c>
      <c r="C21" s="5" t="s">
        <v>55</v>
      </c>
      <c r="D21" s="46" t="str">
        <f>VLOOKUP(Pilots[[#This Row],[Host country]],Country_Mapping[],COLUMN(Country_Mapping[[#Headers],[Region]]),0)</f>
        <v>Africa</v>
      </c>
      <c r="E21" s="46" t="str">
        <f>VLOOKUP(Pilots[[#This Row],[Host country]],Country_Mapping[],COLUMN(Country_Mapping[[#Headers],[Sub-region]]),0)</f>
        <v>Western Africa</v>
      </c>
      <c r="F21" s="5"/>
      <c r="G21" s="5" t="s">
        <v>81</v>
      </c>
      <c r="H21" s="5" t="s">
        <v>93</v>
      </c>
      <c r="I21" s="62" t="s">
        <v>36</v>
      </c>
      <c r="K21" s="5"/>
      <c r="L21" s="16" t="s">
        <v>26</v>
      </c>
      <c r="N21" s="16" t="s">
        <v>27</v>
      </c>
      <c r="O21" s="67" t="s">
        <v>123</v>
      </c>
      <c r="P21" s="5"/>
      <c r="Q21" s="5" t="s">
        <v>131</v>
      </c>
    </row>
    <row r="22" spans="1:17" s="16" customFormat="1" ht="28" x14ac:dyDescent="0.25">
      <c r="A22" s="71" t="s">
        <v>132</v>
      </c>
      <c r="B22" s="5" t="s">
        <v>133</v>
      </c>
      <c r="C22" s="5" t="s">
        <v>55</v>
      </c>
      <c r="D22" s="46" t="str">
        <f>VLOOKUP(Pilots[[#This Row],[Host country]],Country_Mapping[],COLUMN(Country_Mapping[[#Headers],[Region]]),0)</f>
        <v>Africa</v>
      </c>
      <c r="E22" s="46" t="str">
        <f>VLOOKUP(Pilots[[#This Row],[Host country]],Country_Mapping[],COLUMN(Country_Mapping[[#Headers],[Sub-region]]),0)</f>
        <v>Western Africa</v>
      </c>
      <c r="F22" s="5"/>
      <c r="G22" s="5" t="s">
        <v>22</v>
      </c>
      <c r="H22" s="5" t="s">
        <v>23</v>
      </c>
      <c r="I22" s="62" t="s">
        <v>36</v>
      </c>
      <c r="K22" s="5"/>
      <c r="L22" s="16" t="s">
        <v>134</v>
      </c>
      <c r="N22" s="16" t="s">
        <v>27</v>
      </c>
      <c r="O22" s="67" t="s">
        <v>123</v>
      </c>
      <c r="P22" s="5"/>
      <c r="Q22" s="5" t="s">
        <v>135</v>
      </c>
    </row>
    <row r="23" spans="1:17" s="16" customFormat="1" ht="28" x14ac:dyDescent="0.25">
      <c r="A23" s="71" t="s">
        <v>136</v>
      </c>
      <c r="B23" s="5" t="s">
        <v>137</v>
      </c>
      <c r="C23" s="5" t="s">
        <v>55</v>
      </c>
      <c r="D23" s="46" t="str">
        <f>VLOOKUP(Pilots[[#This Row],[Host country]],Country_Mapping[],COLUMN(Country_Mapping[[#Headers],[Region]]),0)</f>
        <v>Africa</v>
      </c>
      <c r="E23" s="46" t="str">
        <f>VLOOKUP(Pilots[[#This Row],[Host country]],Country_Mapping[],COLUMN(Country_Mapping[[#Headers],[Sub-region]]),0)</f>
        <v>Western Africa</v>
      </c>
      <c r="F23" s="5"/>
      <c r="G23" s="5" t="s">
        <v>62</v>
      </c>
      <c r="H23" s="5" t="s">
        <v>63</v>
      </c>
      <c r="I23" s="62" t="s">
        <v>36</v>
      </c>
      <c r="K23" s="5"/>
      <c r="L23" s="5" t="s">
        <v>138</v>
      </c>
      <c r="N23" s="16" t="s">
        <v>27</v>
      </c>
      <c r="O23" s="67" t="s">
        <v>123</v>
      </c>
      <c r="P23" s="5"/>
      <c r="Q23" s="5" t="s">
        <v>139</v>
      </c>
    </row>
    <row r="24" spans="1:17" s="16" customFormat="1" ht="56" x14ac:dyDescent="0.25">
      <c r="A24" s="71" t="s">
        <v>140</v>
      </c>
      <c r="B24" s="5" t="s">
        <v>141</v>
      </c>
      <c r="C24" s="5" t="s">
        <v>69</v>
      </c>
      <c r="D24" s="46" t="str">
        <f>VLOOKUP(Pilots[[#This Row],[Host country]],Country_Mapping[],COLUMN(Country_Mapping[[#Headers],[Region]]),0)</f>
        <v>Americas</v>
      </c>
      <c r="E24" s="46" t="str">
        <f>VLOOKUP(Pilots[[#This Row],[Host country]],Country_Mapping[],COLUMN(Country_Mapping[[#Headers],[Sub-region]]),0)</f>
        <v>South America</v>
      </c>
      <c r="F24" s="5" t="s">
        <v>142</v>
      </c>
      <c r="G24" s="5" t="s">
        <v>56</v>
      </c>
      <c r="H24" s="5" t="s">
        <v>57</v>
      </c>
      <c r="I24" s="68">
        <f>900000/7/1000</f>
        <v>128.57142857142856</v>
      </c>
      <c r="K24" s="5" t="s">
        <v>143</v>
      </c>
      <c r="L24" s="5" t="s">
        <v>144</v>
      </c>
      <c r="M24" s="5" t="s">
        <v>145</v>
      </c>
      <c r="N24" s="16" t="s">
        <v>27</v>
      </c>
      <c r="O24" s="67" t="s">
        <v>146</v>
      </c>
      <c r="P24" s="5"/>
      <c r="Q24" s="5" t="s">
        <v>147</v>
      </c>
    </row>
    <row r="25" spans="1:17" s="16" customFormat="1" ht="66.650000000000006" customHeight="1" x14ac:dyDescent="0.25">
      <c r="A25" s="71" t="s">
        <v>148</v>
      </c>
      <c r="B25" s="5" t="s">
        <v>149</v>
      </c>
      <c r="C25" s="5" t="s">
        <v>150</v>
      </c>
      <c r="D25" s="46" t="str">
        <f>VLOOKUP(Pilots[[#This Row],[Host country]],Country_Mapping[],COLUMN(Country_Mapping[[#Headers],[Region]]),0)</f>
        <v>Asia</v>
      </c>
      <c r="E25" s="46" t="str">
        <f>VLOOKUP(Pilots[[#This Row],[Host country]],Country_Mapping[],COLUMN(Country_Mapping[[#Headers],[Sub-region]]),0)</f>
        <v>Western Asia</v>
      </c>
      <c r="F25" s="5"/>
      <c r="G25" s="5" t="s">
        <v>62</v>
      </c>
      <c r="H25" s="5" t="s">
        <v>151</v>
      </c>
      <c r="I25" s="68">
        <f>100000/8/1000</f>
        <v>12.5</v>
      </c>
      <c r="K25" s="5" t="s">
        <v>152</v>
      </c>
      <c r="L25" s="5" t="s">
        <v>153</v>
      </c>
      <c r="M25" s="5"/>
      <c r="N25" s="16" t="s">
        <v>27</v>
      </c>
      <c r="O25" s="67" t="s">
        <v>154</v>
      </c>
      <c r="P25" s="5"/>
      <c r="Q25" s="5" t="s">
        <v>155</v>
      </c>
    </row>
    <row r="26" spans="1:17" s="16" customFormat="1" x14ac:dyDescent="0.25">
      <c r="A26" s="71" t="s">
        <v>156</v>
      </c>
      <c r="B26" s="5" t="s">
        <v>157</v>
      </c>
      <c r="C26" s="5" t="s">
        <v>92</v>
      </c>
      <c r="D26" s="46" t="str">
        <f>VLOOKUP(Pilots[[#This Row],[Host country]],Country_Mapping[],COLUMN(Country_Mapping[[#Headers],[Region]]),0)</f>
        <v>Africa</v>
      </c>
      <c r="E26" s="46" t="str">
        <f>VLOOKUP(Pilots[[#This Row],[Host country]],Country_Mapping[],COLUMN(Country_Mapping[[#Headers],[Sub-region]]),0)</f>
        <v>Eastern Africa</v>
      </c>
      <c r="F26" s="5"/>
      <c r="G26" s="5" t="s">
        <v>34</v>
      </c>
      <c r="H26" s="5" t="s">
        <v>158</v>
      </c>
      <c r="I26" s="68">
        <f>360000/8/1000</f>
        <v>45</v>
      </c>
      <c r="K26" s="5" t="s">
        <v>159</v>
      </c>
      <c r="L26" s="5" t="s">
        <v>153</v>
      </c>
      <c r="M26" s="5"/>
      <c r="N26" s="16" t="s">
        <v>27</v>
      </c>
      <c r="O26" s="17" t="s">
        <v>160</v>
      </c>
      <c r="P26" s="5"/>
      <c r="Q26" s="5" t="s">
        <v>161</v>
      </c>
    </row>
    <row r="27" spans="1:17" s="16" customFormat="1" ht="70" x14ac:dyDescent="0.25">
      <c r="A27" s="71" t="s">
        <v>162</v>
      </c>
      <c r="B27" s="5" t="s">
        <v>163</v>
      </c>
      <c r="C27" s="5" t="s">
        <v>164</v>
      </c>
      <c r="D27" s="46" t="str">
        <f>VLOOKUP(Pilots[[#This Row],[Host country]],Country_Mapping[],COLUMN(Country_Mapping[[#Headers],[Region]]),0)</f>
        <v>Oceania</v>
      </c>
      <c r="E27" s="46" t="str">
        <f>VLOOKUP(Pilots[[#This Row],[Host country]],Country_Mapping[],COLUMN(Country_Mapping[[#Headers],[Sub-region]]),0)</f>
        <v>Melanesia</v>
      </c>
      <c r="F27" s="5"/>
      <c r="G27" s="5" t="s">
        <v>56</v>
      </c>
      <c r="H27" s="5" t="s">
        <v>57</v>
      </c>
      <c r="I27" s="68">
        <f>97217/9/1000</f>
        <v>10.80188888888889</v>
      </c>
      <c r="K27" s="5"/>
      <c r="L27" s="5" t="s">
        <v>165</v>
      </c>
      <c r="M27" s="5"/>
      <c r="N27" s="16" t="s">
        <v>27</v>
      </c>
      <c r="O27" s="17" t="s">
        <v>166</v>
      </c>
      <c r="P27" s="5"/>
      <c r="Q27" s="5" t="s">
        <v>167</v>
      </c>
    </row>
    <row r="28" spans="1:17" x14ac:dyDescent="0.3">
      <c r="D28" s="5"/>
      <c r="E28" s="5"/>
      <c r="O28" s="66"/>
    </row>
    <row r="29" spans="1:17" x14ac:dyDescent="0.3">
      <c r="D29" s="5"/>
      <c r="E29" s="5"/>
      <c r="O29" s="66"/>
    </row>
    <row r="30" spans="1:17" x14ac:dyDescent="0.3">
      <c r="D30" s="5"/>
      <c r="E30" s="5"/>
    </row>
    <row r="36" spans="1:14" x14ac:dyDescent="0.3">
      <c r="B36" s="173"/>
    </row>
    <row r="38" spans="1:14" x14ac:dyDescent="0.3">
      <c r="A38" s="72"/>
    </row>
    <row r="40" spans="1:14" x14ac:dyDescent="0.3">
      <c r="A40" s="72"/>
      <c r="M40" s="73"/>
      <c r="N40" s="73"/>
    </row>
    <row r="41" spans="1:14" x14ac:dyDescent="0.3">
      <c r="M41" s="73"/>
    </row>
    <row r="42" spans="1:14" x14ac:dyDescent="0.3">
      <c r="M42" s="73"/>
    </row>
    <row r="43" spans="1:14" x14ac:dyDescent="0.3">
      <c r="M43" s="73"/>
    </row>
    <row r="44" spans="1:14" x14ac:dyDescent="0.3">
      <c r="M44" s="73"/>
    </row>
    <row r="45" spans="1:14" x14ac:dyDescent="0.3">
      <c r="M45" s="73"/>
    </row>
    <row r="46" spans="1:14" x14ac:dyDescent="0.3">
      <c r="M46" s="73"/>
    </row>
  </sheetData>
  <sortState xmlns:xlrd2="http://schemas.microsoft.com/office/spreadsheetml/2017/richdata2" ref="A6:BR12419">
    <sortCondition descending="1" ref="J6:J12419"/>
    <sortCondition ref="A6:A12419"/>
  </sortState>
  <phoneticPr fontId="33" type="noConversion"/>
  <conditionalFormatting sqref="A2 A4:A27">
    <cfRule type="containsText" dxfId="15" priority="1478" operator="containsText" text="CDM6044">
      <formula>NOT(ISERROR(SEARCH("CDM6044",A2)))</formula>
    </cfRule>
    <cfRule type="containsText" dxfId="14" priority="1479" operator="containsText" text="CDM6043">
      <formula>NOT(ISERROR(SEARCH("CDM6043",A2)))</formula>
    </cfRule>
    <cfRule type="containsText" dxfId="13" priority="1480" operator="containsText" text="CDM6043">
      <formula>NOT(ISERROR(SEARCH("CDM6043",A2)))</formula>
    </cfRule>
    <cfRule type="containsText" dxfId="12" priority="1482" operator="containsText" text="CDM6042">
      <formula>NOT(ISERROR(SEARCH("CDM6042",A2)))</formula>
    </cfRule>
  </conditionalFormatting>
  <dataValidations count="2">
    <dataValidation type="list" allowBlank="1" showInputMessage="1" showErrorMessage="1" errorTitle="Invalid Country" sqref="C5:C27" xr:uid="{CE0E2698-ED20-4FEC-93B0-275E8DD5BA29}">
      <formula1>Countries</formula1>
    </dataValidation>
    <dataValidation type="list" allowBlank="1" showInputMessage="1" showErrorMessage="1" sqref="N5:N27" xr:uid="{B042FD5D-711F-486C-9541-3B67FB98A437}">
      <formula1>Countries</formula1>
    </dataValidation>
  </dataValidations>
  <hyperlinks>
    <hyperlink ref="O6" r:id="rId1" xr:uid="{00000000-0004-0000-0000-000009000000}"/>
    <hyperlink ref="O13" r:id="rId2" xr:uid="{00000000-0004-0000-0000-000014000000}"/>
    <hyperlink ref="O14" r:id="rId3" xr:uid="{00000000-0004-0000-0000-000015000000}"/>
    <hyperlink ref="O7" r:id="rId4" xr:uid="{00000000-0004-0000-0000-000016000000}"/>
    <hyperlink ref="O9" r:id="rId5" xr:uid="{00000000-0004-0000-0000-000028000000}"/>
    <hyperlink ref="O11" r:id="rId6" xr:uid="{00000000-0004-0000-0000-000029000000}"/>
    <hyperlink ref="O16" r:id="rId7" xr:uid="{00000000-0004-0000-0000-00002A000000}"/>
    <hyperlink ref="O8" r:id="rId8" xr:uid="{C7F1FBFB-8A88-4B8F-991B-61B6371559C0}"/>
    <hyperlink ref="O15" r:id="rId9" xr:uid="{B0BF1518-D8B3-4879-88EE-A5447D36A574}"/>
    <hyperlink ref="O10" r:id="rId10" xr:uid="{FE7A5C10-0A49-499B-AD88-98521EE6DE86}"/>
    <hyperlink ref="O5" r:id="rId11" xr:uid="{28FAEF54-FAB7-4D73-8268-7573B7E357A7}"/>
    <hyperlink ref="O17" r:id="rId12" xr:uid="{AC7E0AE1-27D8-43AB-80D9-3200D973C5F7}"/>
    <hyperlink ref="O18" r:id="rId13" xr:uid="{6AA4E172-CA1C-4683-96F5-86F247DB7156}"/>
    <hyperlink ref="O19" r:id="rId14" display="https://cmo.epa.gov.gh/index.php/ghana-swiss-cooperative-approach-under-article-6-2-of-the-paris-agreement/" xr:uid="{BC3AC3D4-CD51-48B0-8FD7-D21DD3A7A410}"/>
    <hyperlink ref="O20" r:id="rId15" display="https://cmo.epa.gov.gh/index.php/ghana-swiss-cooperative-approach-under-article-6-2-of-the-paris-agreement/" xr:uid="{5547C52E-9960-4F23-A1D5-3E80546E31AA}"/>
    <hyperlink ref="O21" r:id="rId16" display="https://cmo.epa.gov.gh/index.php/ghana-swiss-cooperative-approach-under-article-6-2-of-the-paris-agreement/" xr:uid="{6B94A075-BB82-44F6-8EAB-8A92334A24A9}"/>
    <hyperlink ref="O22" r:id="rId17" display="https://cmo.epa.gov.gh/index.php/ghana-swiss-cooperative-approach-under-article-6-2-of-the-paris-agreement/" xr:uid="{E8A38298-B526-4ABC-9EC3-AC4CCC12F225}"/>
    <hyperlink ref="O23" r:id="rId18" display="https://cmo.epa.gov.gh/index.php/ghana-swiss-cooperative-approach-under-article-6-2-of-the-paris-agreement/" xr:uid="{D344C2A7-FAD8-4A12-A38F-C735AA9CB8EC}"/>
    <hyperlink ref="O24" r:id="rId19" xr:uid="{16E645CB-FC72-4F3C-8793-8489A96F1BBE}"/>
    <hyperlink ref="O25" r:id="rId20" xr:uid="{C6BD7A0F-C6CB-4C2B-B37B-36317AA02102}"/>
    <hyperlink ref="O26" r:id="rId21" xr:uid="{EFF2DE69-2B71-43ED-83D3-A0CC316D106F}"/>
    <hyperlink ref="O12" r:id="rId22" xr:uid="{27A13142-ABBA-45BF-8023-B5A4E8B888DD}"/>
    <hyperlink ref="O27" r:id="rId23" xr:uid="{DE9FE134-9A96-4318-82A8-5B843CA96D32}"/>
  </hyperlinks>
  <pageMargins left="0.74803149606299213" right="0.74803149606299213" top="0.74803149606299213" bottom="0.74803149606299213" header="0.15748031496062992" footer="0.15748031496062992"/>
  <pageSetup paperSize="9" scale="48" fitToWidth="0" orientation="landscape" r:id="rId24"/>
  <headerFooter alignWithMargins="0"/>
  <drawing r:id="rId25"/>
  <tableParts count="1">
    <tablePart r:id="rId2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E9A88-7793-4CC9-9BDB-CD3FF0E8DE39}">
  <dimension ref="A1:Q128"/>
  <sheetViews>
    <sheetView showGridLines="0" zoomScale="80" zoomScaleNormal="80" workbookViewId="0">
      <pane ySplit="4" topLeftCell="A86" activePane="bottomLeft" state="frozen"/>
      <selection pane="bottomLeft" activeCell="C23" sqref="C23"/>
    </sheetView>
  </sheetViews>
  <sheetFormatPr defaultColWidth="8.81640625" defaultRowHeight="14" outlineLevelCol="1" x14ac:dyDescent="0.25"/>
  <cols>
    <col min="1" max="1" width="10.81640625" style="77" customWidth="1"/>
    <col min="2" max="2" width="61.26953125" style="53" customWidth="1"/>
    <col min="3" max="3" width="16.453125" style="77" customWidth="1"/>
    <col min="4" max="5" width="16.453125" style="77" customWidth="1" outlineLevel="1"/>
    <col min="6" max="8" width="16.453125" style="77" customWidth="1"/>
    <col min="9" max="9" width="16.453125" style="78" customWidth="1"/>
    <col min="10" max="10" width="16.453125" style="77" customWidth="1"/>
    <col min="11" max="11" width="19.453125" style="77" customWidth="1"/>
    <col min="12" max="12" width="16.453125" style="77" customWidth="1"/>
    <col min="13" max="13" width="26.54296875" style="77" customWidth="1"/>
    <col min="14" max="14" width="17.7265625" style="77" customWidth="1"/>
    <col min="15" max="17" width="16.453125" style="77" customWidth="1"/>
    <col min="18" max="16384" width="8.81640625" style="77"/>
  </cols>
  <sheetData>
    <row r="1" spans="1:17" x14ac:dyDescent="0.25">
      <c r="A1" s="76" t="s">
        <v>175</v>
      </c>
    </row>
    <row r="2" spans="1:17" ht="30" customHeight="1" x14ac:dyDescent="0.25">
      <c r="A2" s="195" t="s">
        <v>176</v>
      </c>
      <c r="B2" s="195"/>
      <c r="C2" s="195"/>
      <c r="D2" s="195"/>
      <c r="E2" s="195"/>
      <c r="F2" s="195"/>
      <c r="G2" s="195"/>
      <c r="H2" s="195"/>
      <c r="I2" s="195"/>
      <c r="J2" s="195"/>
      <c r="K2" s="195"/>
      <c r="L2" s="195"/>
      <c r="M2" s="195"/>
      <c r="N2" s="195"/>
      <c r="O2" s="195"/>
    </row>
    <row r="3" spans="1:17" x14ac:dyDescent="0.25">
      <c r="A3" s="196" t="s">
        <v>177</v>
      </c>
      <c r="B3" s="196"/>
    </row>
    <row r="4" spans="1:17" s="138" customFormat="1" x14ac:dyDescent="0.25">
      <c r="A4" s="131" t="s">
        <v>178</v>
      </c>
      <c r="B4" s="132" t="s">
        <v>2</v>
      </c>
      <c r="C4" s="132" t="s">
        <v>3</v>
      </c>
      <c r="D4" s="133" t="s">
        <v>4</v>
      </c>
      <c r="E4" s="133" t="s">
        <v>5</v>
      </c>
      <c r="F4" s="132" t="s">
        <v>6</v>
      </c>
      <c r="G4" s="132" t="s">
        <v>7</v>
      </c>
      <c r="H4" s="134" t="s">
        <v>8</v>
      </c>
      <c r="I4" s="135" t="s">
        <v>9</v>
      </c>
      <c r="J4" s="136" t="s">
        <v>10</v>
      </c>
      <c r="K4" s="136" t="s">
        <v>11</v>
      </c>
      <c r="L4" s="132" t="s">
        <v>12</v>
      </c>
      <c r="M4" s="132" t="s">
        <v>13</v>
      </c>
      <c r="N4" s="132" t="s">
        <v>14</v>
      </c>
      <c r="O4" s="132" t="s">
        <v>15</v>
      </c>
      <c r="P4" s="137" t="s">
        <v>16</v>
      </c>
      <c r="Q4" s="137" t="s">
        <v>17</v>
      </c>
    </row>
    <row r="5" spans="1:17" ht="33.65" customHeight="1" x14ac:dyDescent="0.25">
      <c r="A5" s="130">
        <v>1</v>
      </c>
      <c r="B5" s="5" t="s">
        <v>179</v>
      </c>
      <c r="C5" s="5" t="s">
        <v>180</v>
      </c>
      <c r="D5" s="46" t="str">
        <f>VLOOKUP(JCM[[#This Row],[Host country]],Country_Mapping[],COLUMN(Country_Mapping[[#Headers],[Region]]),0)</f>
        <v>Asia</v>
      </c>
      <c r="E5" s="46" t="str">
        <f>VLOOKUP(JCM[[#This Row],[Host country]],Country_Mapping[],COLUMN(Country_Mapping[[#Headers],[Sub-region]]),0)</f>
        <v>Southeast Asia</v>
      </c>
      <c r="F5" s="5" t="s">
        <v>181</v>
      </c>
      <c r="G5" s="5" t="s">
        <v>182</v>
      </c>
      <c r="H5" s="5" t="s">
        <v>183</v>
      </c>
      <c r="I5" s="79">
        <f>(2255/1000000)*1000</f>
        <v>2.2549999999999999</v>
      </c>
      <c r="J5" s="5" t="s">
        <v>184</v>
      </c>
      <c r="K5" s="5" t="s">
        <v>185</v>
      </c>
      <c r="L5" s="5" t="s">
        <v>186</v>
      </c>
      <c r="M5" s="5"/>
      <c r="N5" s="5" t="s">
        <v>187</v>
      </c>
      <c r="O5" s="52" t="s">
        <v>188</v>
      </c>
      <c r="P5" s="53"/>
      <c r="Q5" s="53" t="s">
        <v>189</v>
      </c>
    </row>
    <row r="6" spans="1:17" ht="33.65" customHeight="1" x14ac:dyDescent="0.25">
      <c r="A6" s="130">
        <f>A5+1</f>
        <v>2</v>
      </c>
      <c r="B6" s="5" t="s">
        <v>190</v>
      </c>
      <c r="C6" s="5" t="s">
        <v>180</v>
      </c>
      <c r="D6" s="77" t="str">
        <f>VLOOKUP(JCM[[#This Row],[Host country]],Country_Mapping[],COLUMN(Country_Mapping[[#Headers],[Region]]),0)</f>
        <v>Asia</v>
      </c>
      <c r="E6" s="77" t="str">
        <f>VLOOKUP(JCM[[#This Row],[Host country]],Country_Mapping[],COLUMN(Country_Mapping[[#Headers],[Sub-region]]),0)</f>
        <v>Southeast Asia</v>
      </c>
      <c r="F6" s="5" t="s">
        <v>191</v>
      </c>
      <c r="G6" s="5" t="s">
        <v>56</v>
      </c>
      <c r="H6" s="5" t="s">
        <v>57</v>
      </c>
      <c r="I6" s="79">
        <f>(48237/1000000)*1000</f>
        <v>48.237000000000002</v>
      </c>
      <c r="J6" s="5" t="s">
        <v>184</v>
      </c>
      <c r="K6" s="5" t="s">
        <v>192</v>
      </c>
      <c r="L6" s="5" t="s">
        <v>193</v>
      </c>
      <c r="M6" s="5"/>
      <c r="N6" s="5" t="s">
        <v>187</v>
      </c>
      <c r="O6" s="53" t="s">
        <v>194</v>
      </c>
      <c r="P6" s="53"/>
      <c r="Q6" s="53" t="s">
        <v>189</v>
      </c>
    </row>
    <row r="7" spans="1:17" ht="33.65" customHeight="1" x14ac:dyDescent="0.25">
      <c r="A7" s="130">
        <f t="shared" ref="A7:A70" si="0">A6+1</f>
        <v>3</v>
      </c>
      <c r="B7" s="5" t="s">
        <v>195</v>
      </c>
      <c r="C7" s="5" t="s">
        <v>180</v>
      </c>
      <c r="D7" s="77" t="str">
        <f>VLOOKUP(JCM[[#This Row],[Host country]],Country_Mapping[],COLUMN(Country_Mapping[[#Headers],[Region]]),0)</f>
        <v>Asia</v>
      </c>
      <c r="E7" s="77" t="str">
        <f>VLOOKUP(JCM[[#This Row],[Host country]],Country_Mapping[],COLUMN(Country_Mapping[[#Headers],[Sub-region]]),0)</f>
        <v>Southeast Asia</v>
      </c>
      <c r="F7" s="5" t="s">
        <v>196</v>
      </c>
      <c r="G7" s="18" t="s">
        <v>197</v>
      </c>
      <c r="H7" s="5"/>
      <c r="I7" s="79">
        <f>(284/1000000)*1000</f>
        <v>0.28400000000000003</v>
      </c>
      <c r="J7" s="5" t="s">
        <v>184</v>
      </c>
      <c r="K7" s="5" t="s">
        <v>198</v>
      </c>
      <c r="L7" s="5" t="s">
        <v>199</v>
      </c>
      <c r="M7" s="5"/>
      <c r="N7" s="5" t="s">
        <v>187</v>
      </c>
      <c r="O7" s="80" t="s">
        <v>200</v>
      </c>
      <c r="Q7" s="53" t="s">
        <v>189</v>
      </c>
    </row>
    <row r="8" spans="1:17" ht="33.65" customHeight="1" x14ac:dyDescent="0.25">
      <c r="A8" s="130">
        <f t="shared" si="0"/>
        <v>4</v>
      </c>
      <c r="B8" s="5" t="s">
        <v>201</v>
      </c>
      <c r="C8" s="5" t="s">
        <v>180</v>
      </c>
      <c r="D8" s="77" t="str">
        <f>VLOOKUP(JCM[[#This Row],[Host country]],Country_Mapping[],COLUMN(Country_Mapping[[#Headers],[Region]]),0)</f>
        <v>Asia</v>
      </c>
      <c r="E8" s="77" t="str">
        <f>VLOOKUP(JCM[[#This Row],[Host country]],Country_Mapping[],COLUMN(Country_Mapping[[#Headers],[Sub-region]]),0)</f>
        <v>Southeast Asia</v>
      </c>
      <c r="F8" s="5" t="s">
        <v>202</v>
      </c>
      <c r="G8" s="5" t="s">
        <v>197</v>
      </c>
      <c r="H8" s="5"/>
      <c r="I8" s="79">
        <f>(3243/1000000)*1000</f>
        <v>3.2429999999999999</v>
      </c>
      <c r="J8" s="5" t="s">
        <v>184</v>
      </c>
      <c r="K8" s="5" t="s">
        <v>203</v>
      </c>
      <c r="L8" s="5" t="s">
        <v>204</v>
      </c>
      <c r="M8" s="5"/>
      <c r="N8" s="5" t="s">
        <v>187</v>
      </c>
      <c r="O8" s="80" t="s">
        <v>205</v>
      </c>
      <c r="Q8" s="53" t="s">
        <v>189</v>
      </c>
    </row>
    <row r="9" spans="1:17" ht="33.65" customHeight="1" x14ac:dyDescent="0.25">
      <c r="A9" s="130">
        <f t="shared" si="0"/>
        <v>5</v>
      </c>
      <c r="B9" s="5" t="s">
        <v>206</v>
      </c>
      <c r="C9" s="5" t="s">
        <v>180</v>
      </c>
      <c r="D9" s="77" t="str">
        <f>VLOOKUP(JCM[[#This Row],[Host country]],Country_Mapping[],COLUMN(Country_Mapping[[#Headers],[Region]]),0)</f>
        <v>Asia</v>
      </c>
      <c r="E9" s="77" t="str">
        <f>VLOOKUP(JCM[[#This Row],[Host country]],Country_Mapping[],COLUMN(Country_Mapping[[#Headers],[Sub-region]]),0)</f>
        <v>Southeast Asia</v>
      </c>
      <c r="F9" s="5" t="s">
        <v>207</v>
      </c>
      <c r="G9" s="18" t="s">
        <v>197</v>
      </c>
      <c r="H9" s="5"/>
      <c r="I9" s="79">
        <f>(426/1000000)*1000</f>
        <v>0.42599999999999999</v>
      </c>
      <c r="J9" s="5" t="s">
        <v>184</v>
      </c>
      <c r="K9" s="5" t="s">
        <v>208</v>
      </c>
      <c r="L9" s="5" t="s">
        <v>209</v>
      </c>
      <c r="M9" s="5"/>
      <c r="N9" s="5" t="s">
        <v>187</v>
      </c>
      <c r="O9" s="81" t="s">
        <v>210</v>
      </c>
      <c r="Q9" s="53" t="s">
        <v>211</v>
      </c>
    </row>
    <row r="10" spans="1:17" ht="33.65" customHeight="1" x14ac:dyDescent="0.25">
      <c r="A10" s="130">
        <f t="shared" si="0"/>
        <v>6</v>
      </c>
      <c r="B10" s="5" t="s">
        <v>212</v>
      </c>
      <c r="C10" s="5" t="s">
        <v>180</v>
      </c>
      <c r="D10" s="77" t="str">
        <f>VLOOKUP(JCM[[#This Row],[Host country]],Country_Mapping[],COLUMN(Country_Mapping[[#Headers],[Region]]),0)</f>
        <v>Asia</v>
      </c>
      <c r="E10" s="77" t="str">
        <f>VLOOKUP(JCM[[#This Row],[Host country]],Country_Mapping[],COLUMN(Country_Mapping[[#Headers],[Sub-region]]),0)</f>
        <v>Southeast Asia</v>
      </c>
      <c r="F10" s="5" t="s">
        <v>213</v>
      </c>
      <c r="G10" s="5" t="s">
        <v>182</v>
      </c>
      <c r="H10" s="5" t="s">
        <v>183</v>
      </c>
      <c r="I10" s="79">
        <f>(3477/1000000)*1000</f>
        <v>3.4769999999999999</v>
      </c>
      <c r="J10" s="5" t="s">
        <v>184</v>
      </c>
      <c r="K10" s="5" t="s">
        <v>214</v>
      </c>
      <c r="L10" s="5" t="s">
        <v>186</v>
      </c>
      <c r="M10" s="5"/>
      <c r="N10" s="5" t="s">
        <v>187</v>
      </c>
      <c r="O10" s="77" t="s">
        <v>215</v>
      </c>
      <c r="Q10" s="77" t="s">
        <v>216</v>
      </c>
    </row>
    <row r="11" spans="1:17" ht="33.65" customHeight="1" x14ac:dyDescent="0.25">
      <c r="A11" s="130">
        <f t="shared" si="0"/>
        <v>7</v>
      </c>
      <c r="B11" s="5" t="s">
        <v>217</v>
      </c>
      <c r="C11" s="5" t="s">
        <v>180</v>
      </c>
      <c r="D11" s="77" t="str">
        <f>VLOOKUP(JCM[[#This Row],[Host country]],Country_Mapping[],COLUMN(Country_Mapping[[#Headers],[Region]]),0)</f>
        <v>Asia</v>
      </c>
      <c r="E11" s="77" t="str">
        <f>VLOOKUP(JCM[[#This Row],[Host country]],Country_Mapping[],COLUMN(Country_Mapping[[#Headers],[Sub-region]]),0)</f>
        <v>Southeast Asia</v>
      </c>
      <c r="F11" s="5" t="s">
        <v>207</v>
      </c>
      <c r="G11" s="5" t="s">
        <v>197</v>
      </c>
      <c r="H11" s="5"/>
      <c r="I11" s="79">
        <f>(599/1000000)*1000</f>
        <v>0.59899999999999998</v>
      </c>
      <c r="J11" s="5" t="s">
        <v>184</v>
      </c>
      <c r="K11" s="5" t="s">
        <v>218</v>
      </c>
      <c r="L11" s="5" t="s">
        <v>219</v>
      </c>
      <c r="M11" s="5"/>
      <c r="N11" s="5" t="s">
        <v>187</v>
      </c>
      <c r="O11" s="81" t="s">
        <v>220</v>
      </c>
      <c r="Q11" s="77" t="s">
        <v>216</v>
      </c>
    </row>
    <row r="12" spans="1:17" ht="33.65" customHeight="1" x14ac:dyDescent="0.25">
      <c r="A12" s="130">
        <f t="shared" si="0"/>
        <v>8</v>
      </c>
      <c r="B12" s="5" t="s">
        <v>221</v>
      </c>
      <c r="C12" s="5" t="s">
        <v>180</v>
      </c>
      <c r="D12" s="77" t="str">
        <f>VLOOKUP(JCM[[#This Row],[Host country]],Country_Mapping[],COLUMN(Country_Mapping[[#Headers],[Region]]),0)</f>
        <v>Asia</v>
      </c>
      <c r="E12" s="77" t="str">
        <f>VLOOKUP(JCM[[#This Row],[Host country]],Country_Mapping[],COLUMN(Country_Mapping[[#Headers],[Sub-region]]),0)</f>
        <v>Southeast Asia</v>
      </c>
      <c r="F12" s="5" t="s">
        <v>222</v>
      </c>
      <c r="G12" s="5" t="s">
        <v>197</v>
      </c>
      <c r="H12" s="5"/>
      <c r="I12" s="79">
        <f>(927/1000000)*1000</f>
        <v>0.92699999999999994</v>
      </c>
      <c r="J12" s="5" t="s">
        <v>184</v>
      </c>
      <c r="K12" s="5" t="s">
        <v>223</v>
      </c>
      <c r="L12" s="5" t="s">
        <v>224</v>
      </c>
      <c r="M12" s="5"/>
      <c r="N12" s="5" t="s">
        <v>187</v>
      </c>
      <c r="O12" s="81" t="s">
        <v>225</v>
      </c>
      <c r="Q12" s="77" t="s">
        <v>226</v>
      </c>
    </row>
    <row r="13" spans="1:17" ht="33.65" customHeight="1" x14ac:dyDescent="0.25">
      <c r="A13" s="130">
        <f t="shared" si="0"/>
        <v>9</v>
      </c>
      <c r="B13" s="5" t="s">
        <v>227</v>
      </c>
      <c r="C13" s="5" t="s">
        <v>180</v>
      </c>
      <c r="D13" s="77" t="str">
        <f>VLOOKUP(JCM[[#This Row],[Host country]],Country_Mapping[],COLUMN(Country_Mapping[[#Headers],[Region]]),0)</f>
        <v>Asia</v>
      </c>
      <c r="E13" s="77" t="str">
        <f>VLOOKUP(JCM[[#This Row],[Host country]],Country_Mapping[],COLUMN(Country_Mapping[[#Headers],[Sub-region]]),0)</f>
        <v>Southeast Asia</v>
      </c>
      <c r="F13" s="5" t="s">
        <v>228</v>
      </c>
      <c r="G13" s="5" t="s">
        <v>197</v>
      </c>
      <c r="H13" s="5" t="s">
        <v>229</v>
      </c>
      <c r="I13" s="79">
        <f>(3506/1000000)*1000</f>
        <v>3.5059999999999998</v>
      </c>
      <c r="J13" s="5" t="s">
        <v>184</v>
      </c>
      <c r="K13" s="5" t="s">
        <v>230</v>
      </c>
      <c r="L13" s="5" t="s">
        <v>231</v>
      </c>
      <c r="M13" s="5"/>
      <c r="N13" s="5" t="s">
        <v>187</v>
      </c>
      <c r="O13" s="77" t="s">
        <v>232</v>
      </c>
      <c r="Q13" s="77" t="s">
        <v>226</v>
      </c>
    </row>
    <row r="14" spans="1:17" ht="33.65" customHeight="1" x14ac:dyDescent="0.25">
      <c r="A14" s="130">
        <f t="shared" si="0"/>
        <v>10</v>
      </c>
      <c r="B14" s="5" t="s">
        <v>233</v>
      </c>
      <c r="C14" s="5" t="s">
        <v>180</v>
      </c>
      <c r="D14" s="77" t="str">
        <f>VLOOKUP(JCM[[#This Row],[Host country]],Country_Mapping[],COLUMN(Country_Mapping[[#Headers],[Region]]),0)</f>
        <v>Asia</v>
      </c>
      <c r="E14" s="77" t="str">
        <f>VLOOKUP(JCM[[#This Row],[Host country]],Country_Mapping[],COLUMN(Country_Mapping[[#Headers],[Sub-region]]),0)</f>
        <v>Southeast Asia</v>
      </c>
      <c r="F14" s="5" t="s">
        <v>234</v>
      </c>
      <c r="G14" s="5" t="s">
        <v>197</v>
      </c>
      <c r="H14" s="5"/>
      <c r="I14" s="79">
        <f>(112/1000000)*1000</f>
        <v>0.112</v>
      </c>
      <c r="J14" s="5" t="s">
        <v>184</v>
      </c>
      <c r="K14" s="5" t="s">
        <v>235</v>
      </c>
      <c r="L14" s="5" t="s">
        <v>236</v>
      </c>
      <c r="M14" s="5"/>
      <c r="N14" s="5" t="s">
        <v>187</v>
      </c>
      <c r="O14" s="77" t="s">
        <v>237</v>
      </c>
      <c r="Q14" s="77" t="s">
        <v>238</v>
      </c>
    </row>
    <row r="15" spans="1:17" ht="33.65" customHeight="1" x14ac:dyDescent="0.25">
      <c r="A15" s="130">
        <f t="shared" si="0"/>
        <v>11</v>
      </c>
      <c r="B15" s="5" t="s">
        <v>239</v>
      </c>
      <c r="C15" s="5" t="s">
        <v>180</v>
      </c>
      <c r="D15" s="77" t="str">
        <f>VLOOKUP(JCM[[#This Row],[Host country]],Country_Mapping[],COLUMN(Country_Mapping[[#Headers],[Region]]),0)</f>
        <v>Asia</v>
      </c>
      <c r="E15" s="77" t="str">
        <f>VLOOKUP(JCM[[#This Row],[Host country]],Country_Mapping[],COLUMN(Country_Mapping[[#Headers],[Sub-region]]),0)</f>
        <v>Southeast Asia</v>
      </c>
      <c r="F15" s="5" t="s">
        <v>240</v>
      </c>
      <c r="G15" s="5" t="s">
        <v>182</v>
      </c>
      <c r="H15" s="5" t="s">
        <v>183</v>
      </c>
      <c r="I15" s="79">
        <f>(3533/1000000)*1000</f>
        <v>3.5329999999999999</v>
      </c>
      <c r="J15" s="5" t="s">
        <v>184</v>
      </c>
      <c r="K15" s="5" t="s">
        <v>241</v>
      </c>
      <c r="L15" s="5" t="s">
        <v>242</v>
      </c>
      <c r="M15" s="5"/>
      <c r="N15" s="5" t="s">
        <v>187</v>
      </c>
      <c r="O15" s="77" t="s">
        <v>243</v>
      </c>
      <c r="Q15" s="77" t="s">
        <v>238</v>
      </c>
    </row>
    <row r="16" spans="1:17" ht="33.65" customHeight="1" x14ac:dyDescent="0.25">
      <c r="A16" s="130">
        <f t="shared" si="0"/>
        <v>12</v>
      </c>
      <c r="B16" s="5" t="s">
        <v>244</v>
      </c>
      <c r="C16" s="5" t="s">
        <v>180</v>
      </c>
      <c r="D16" s="77" t="str">
        <f>VLOOKUP(JCM[[#This Row],[Host country]],Country_Mapping[],COLUMN(Country_Mapping[[#Headers],[Region]]),0)</f>
        <v>Asia</v>
      </c>
      <c r="E16" s="77" t="str">
        <f>VLOOKUP(JCM[[#This Row],[Host country]],Country_Mapping[],COLUMN(Country_Mapping[[#Headers],[Sub-region]]),0)</f>
        <v>Southeast Asia</v>
      </c>
      <c r="F16" s="5" t="s">
        <v>245</v>
      </c>
      <c r="G16" s="5" t="s">
        <v>56</v>
      </c>
      <c r="H16" s="5" t="s">
        <v>57</v>
      </c>
      <c r="I16" s="79">
        <f>(112/1000000)*1000</f>
        <v>0.112</v>
      </c>
      <c r="J16" s="5" t="s">
        <v>184</v>
      </c>
      <c r="K16" s="5" t="s">
        <v>246</v>
      </c>
      <c r="L16" s="5" t="s">
        <v>247</v>
      </c>
      <c r="M16" s="5"/>
      <c r="N16" s="5" t="s">
        <v>187</v>
      </c>
      <c r="O16" s="81" t="s">
        <v>248</v>
      </c>
    </row>
    <row r="17" spans="1:17" ht="33.65" customHeight="1" x14ac:dyDescent="0.25">
      <c r="A17" s="130">
        <f t="shared" si="0"/>
        <v>13</v>
      </c>
      <c r="B17" s="5" t="s">
        <v>249</v>
      </c>
      <c r="C17" s="5" t="s">
        <v>180</v>
      </c>
      <c r="D17" s="77" t="str">
        <f>VLOOKUP(JCM[[#This Row],[Host country]],Country_Mapping[],COLUMN(Country_Mapping[[#Headers],[Region]]),0)</f>
        <v>Asia</v>
      </c>
      <c r="E17" s="77" t="str">
        <f>VLOOKUP(JCM[[#This Row],[Host country]],Country_Mapping[],COLUMN(Country_Mapping[[#Headers],[Sub-region]]),0)</f>
        <v>Southeast Asia</v>
      </c>
      <c r="F17" s="5" t="s">
        <v>250</v>
      </c>
      <c r="G17" s="5" t="s">
        <v>251</v>
      </c>
      <c r="H17" s="5" t="s">
        <v>252</v>
      </c>
      <c r="I17" s="79">
        <f>(823/1000000)*1000</f>
        <v>0.82299999999999995</v>
      </c>
      <c r="J17" s="5" t="s">
        <v>184</v>
      </c>
      <c r="K17" s="5" t="s">
        <v>253</v>
      </c>
      <c r="L17" s="5" t="s">
        <v>254</v>
      </c>
      <c r="M17" s="5"/>
      <c r="N17" s="5" t="s">
        <v>187</v>
      </c>
      <c r="O17" s="81" t="s">
        <v>255</v>
      </c>
      <c r="Q17" s="77" t="s">
        <v>238</v>
      </c>
    </row>
    <row r="18" spans="1:17" ht="33.65" customHeight="1" x14ac:dyDescent="0.25">
      <c r="A18" s="130">
        <f t="shared" si="0"/>
        <v>14</v>
      </c>
      <c r="B18" s="5" t="s">
        <v>256</v>
      </c>
      <c r="C18" s="5" t="s">
        <v>180</v>
      </c>
      <c r="D18" s="77" t="str">
        <f>VLOOKUP(JCM[[#This Row],[Host country]],Country_Mapping[],COLUMN(Country_Mapping[[#Headers],[Region]]),0)</f>
        <v>Asia</v>
      </c>
      <c r="E18" s="77" t="str">
        <f>VLOOKUP(JCM[[#This Row],[Host country]],Country_Mapping[],COLUMN(Country_Mapping[[#Headers],[Sub-region]]),0)</f>
        <v>Southeast Asia</v>
      </c>
      <c r="F18" s="5" t="s">
        <v>207</v>
      </c>
      <c r="G18" s="5" t="s">
        <v>251</v>
      </c>
      <c r="H18" s="5" t="s">
        <v>257</v>
      </c>
      <c r="I18" s="79">
        <f>(723/1000000)*1000</f>
        <v>0.72299999999999998</v>
      </c>
      <c r="J18" s="5" t="s">
        <v>184</v>
      </c>
      <c r="K18" s="5" t="s">
        <v>258</v>
      </c>
      <c r="L18" s="5" t="s">
        <v>259</v>
      </c>
      <c r="M18" s="5"/>
      <c r="N18" s="5" t="s">
        <v>187</v>
      </c>
      <c r="O18" s="77" t="s">
        <v>260</v>
      </c>
      <c r="Q18" s="77" t="s">
        <v>261</v>
      </c>
    </row>
    <row r="19" spans="1:17" ht="33.65" customHeight="1" x14ac:dyDescent="0.25">
      <c r="A19" s="130">
        <f t="shared" si="0"/>
        <v>15</v>
      </c>
      <c r="B19" s="5" t="s">
        <v>262</v>
      </c>
      <c r="C19" s="5" t="s">
        <v>180</v>
      </c>
      <c r="D19" s="77" t="str">
        <f>VLOOKUP(JCM[[#This Row],[Host country]],Country_Mapping[],COLUMN(Country_Mapping[[#Headers],[Region]]),0)</f>
        <v>Asia</v>
      </c>
      <c r="E19" s="77" t="str">
        <f>VLOOKUP(JCM[[#This Row],[Host country]],Country_Mapping[],COLUMN(Country_Mapping[[#Headers],[Sub-region]]),0)</f>
        <v>Southeast Asia</v>
      </c>
      <c r="F19" s="5" t="s">
        <v>263</v>
      </c>
      <c r="G19" s="5" t="s">
        <v>182</v>
      </c>
      <c r="H19" s="5" t="s">
        <v>183</v>
      </c>
      <c r="I19" s="79">
        <f>(610/1000000)*1000</f>
        <v>0.61</v>
      </c>
      <c r="J19" s="5" t="s">
        <v>184</v>
      </c>
      <c r="K19" s="5" t="s">
        <v>264</v>
      </c>
      <c r="L19" s="5" t="s">
        <v>242</v>
      </c>
      <c r="M19" s="5"/>
      <c r="N19" s="5" t="s">
        <v>187</v>
      </c>
      <c r="O19" s="77" t="s">
        <v>265</v>
      </c>
      <c r="Q19" s="77" t="s">
        <v>266</v>
      </c>
    </row>
    <row r="20" spans="1:17" ht="33.65" customHeight="1" x14ac:dyDescent="0.25">
      <c r="A20" s="130">
        <f t="shared" si="0"/>
        <v>16</v>
      </c>
      <c r="B20" s="5" t="s">
        <v>267</v>
      </c>
      <c r="C20" s="5" t="s">
        <v>180</v>
      </c>
      <c r="D20" s="77" t="str">
        <f>VLOOKUP(JCM[[#This Row],[Host country]],Country_Mapping[],COLUMN(Country_Mapping[[#Headers],[Region]]),0)</f>
        <v>Asia</v>
      </c>
      <c r="E20" s="77" t="str">
        <f>VLOOKUP(JCM[[#This Row],[Host country]],Country_Mapping[],COLUMN(Country_Mapping[[#Headers],[Sub-region]]),0)</f>
        <v>Southeast Asia</v>
      </c>
      <c r="F20" s="5" t="s">
        <v>207</v>
      </c>
      <c r="G20" s="5" t="s">
        <v>251</v>
      </c>
      <c r="H20" s="5"/>
      <c r="I20" s="79">
        <f>(272/1000000)*1000</f>
        <v>0.27200000000000002</v>
      </c>
      <c r="J20" s="5" t="s">
        <v>184</v>
      </c>
      <c r="K20" s="5" t="s">
        <v>268</v>
      </c>
      <c r="L20" s="5" t="s">
        <v>269</v>
      </c>
      <c r="M20" s="5"/>
      <c r="N20" s="5" t="s">
        <v>187</v>
      </c>
      <c r="O20" s="81" t="s">
        <v>270</v>
      </c>
      <c r="Q20" s="77" t="s">
        <v>266</v>
      </c>
    </row>
    <row r="21" spans="1:17" ht="33.65" customHeight="1" x14ac:dyDescent="0.25">
      <c r="A21" s="130">
        <f t="shared" si="0"/>
        <v>17</v>
      </c>
      <c r="B21" s="5" t="s">
        <v>271</v>
      </c>
      <c r="C21" s="5" t="s">
        <v>180</v>
      </c>
      <c r="D21" s="77" t="str">
        <f>VLOOKUP(JCM[[#This Row],[Host country]],Country_Mapping[],COLUMN(Country_Mapping[[#Headers],[Region]]),0)</f>
        <v>Asia</v>
      </c>
      <c r="E21" s="77" t="str">
        <f>VLOOKUP(JCM[[#This Row],[Host country]],Country_Mapping[],COLUMN(Country_Mapping[[#Headers],[Sub-region]]),0)</f>
        <v>Southeast Asia</v>
      </c>
      <c r="F21" s="5" t="s">
        <v>207</v>
      </c>
      <c r="G21" s="5" t="s">
        <v>251</v>
      </c>
      <c r="H21" s="5"/>
      <c r="I21" s="79">
        <f>(515/1000000)*1000</f>
        <v>0.51500000000000001</v>
      </c>
      <c r="J21" s="5" t="s">
        <v>184</v>
      </c>
      <c r="K21" s="5" t="s">
        <v>272</v>
      </c>
      <c r="L21" s="5" t="s">
        <v>273</v>
      </c>
      <c r="M21" s="5"/>
      <c r="N21" s="5" t="s">
        <v>187</v>
      </c>
      <c r="O21" s="81" t="s">
        <v>274</v>
      </c>
      <c r="Q21" s="77" t="s">
        <v>275</v>
      </c>
    </row>
    <row r="22" spans="1:17" ht="33.65" customHeight="1" x14ac:dyDescent="0.25">
      <c r="A22" s="130">
        <f t="shared" si="0"/>
        <v>18</v>
      </c>
      <c r="B22" s="5" t="s">
        <v>276</v>
      </c>
      <c r="C22" s="5" t="s">
        <v>180</v>
      </c>
      <c r="D22" s="77" t="str">
        <f>VLOOKUP(JCM[[#This Row],[Host country]],Country_Mapping[],COLUMN(Country_Mapping[[#Headers],[Region]]),0)</f>
        <v>Asia</v>
      </c>
      <c r="E22" s="77" t="str">
        <f>VLOOKUP(JCM[[#This Row],[Host country]],Country_Mapping[],COLUMN(Country_Mapping[[#Headers],[Sub-region]]),0)</f>
        <v>Southeast Asia</v>
      </c>
      <c r="F22" s="5" t="s">
        <v>277</v>
      </c>
      <c r="G22" s="5" t="s">
        <v>22</v>
      </c>
      <c r="H22" s="5"/>
      <c r="I22" s="79">
        <f>(292/1000000)*1000</f>
        <v>0.29199999999999998</v>
      </c>
      <c r="J22" s="5" t="s">
        <v>184</v>
      </c>
      <c r="K22" s="5" t="s">
        <v>278</v>
      </c>
      <c r="L22" s="5" t="s">
        <v>279</v>
      </c>
      <c r="M22" s="5"/>
      <c r="N22" s="5" t="s">
        <v>187</v>
      </c>
      <c r="O22" s="81" t="s">
        <v>280</v>
      </c>
      <c r="Q22" s="77" t="s">
        <v>281</v>
      </c>
    </row>
    <row r="23" spans="1:17" ht="33.65" customHeight="1" x14ac:dyDescent="0.25">
      <c r="A23" s="130">
        <f t="shared" si="0"/>
        <v>19</v>
      </c>
      <c r="B23" s="5" t="s">
        <v>282</v>
      </c>
      <c r="C23" s="5" t="s">
        <v>20</v>
      </c>
      <c r="D23" s="77" t="str">
        <f>VLOOKUP(JCM[[#This Row],[Host country]],Country_Mapping[],COLUMN(Country_Mapping[[#Headers],[Region]]),0)</f>
        <v>Asia</v>
      </c>
      <c r="E23" s="77" t="str">
        <f>VLOOKUP(JCM[[#This Row],[Host country]],Country_Mapping[],COLUMN(Country_Mapping[[#Headers],[Sub-region]]),0)</f>
        <v>Southeast Asia</v>
      </c>
      <c r="F23" s="5" t="s">
        <v>283</v>
      </c>
      <c r="G23" s="5" t="s">
        <v>182</v>
      </c>
      <c r="H23" s="5" t="s">
        <v>183</v>
      </c>
      <c r="I23" s="79">
        <f>(19077/1000000)*1000</f>
        <v>19.077000000000002</v>
      </c>
      <c r="J23" s="5" t="s">
        <v>184</v>
      </c>
      <c r="K23" s="5" t="s">
        <v>284</v>
      </c>
      <c r="L23" s="5" t="s">
        <v>285</v>
      </c>
      <c r="M23" s="5"/>
      <c r="N23" s="5" t="s">
        <v>187</v>
      </c>
      <c r="O23" s="81" t="s">
        <v>286</v>
      </c>
      <c r="Q23" s="77" t="s">
        <v>189</v>
      </c>
    </row>
    <row r="24" spans="1:17" ht="33.65" customHeight="1" x14ac:dyDescent="0.25">
      <c r="A24" s="130">
        <f t="shared" si="0"/>
        <v>20</v>
      </c>
      <c r="B24" s="5" t="s">
        <v>287</v>
      </c>
      <c r="C24" s="5" t="s">
        <v>20</v>
      </c>
      <c r="D24" s="77" t="str">
        <f>VLOOKUP(JCM[[#This Row],[Host country]],Country_Mapping[],COLUMN(Country_Mapping[[#Headers],[Region]]),0)</f>
        <v>Asia</v>
      </c>
      <c r="E24" s="77" t="str">
        <f>VLOOKUP(JCM[[#This Row],[Host country]],Country_Mapping[],COLUMN(Country_Mapping[[#Headers],[Sub-region]]),0)</f>
        <v>Southeast Asia</v>
      </c>
      <c r="F24" s="5" t="s">
        <v>288</v>
      </c>
      <c r="G24" s="5" t="s">
        <v>197</v>
      </c>
      <c r="H24" s="5" t="s">
        <v>229</v>
      </c>
      <c r="I24" s="79">
        <f>(2299/1000000)*1000</f>
        <v>2.2989999999999999</v>
      </c>
      <c r="J24" s="5" t="s">
        <v>184</v>
      </c>
      <c r="K24" s="5" t="s">
        <v>289</v>
      </c>
      <c r="L24" s="5" t="s">
        <v>290</v>
      </c>
      <c r="M24" s="5"/>
      <c r="N24" s="5" t="s">
        <v>187</v>
      </c>
      <c r="O24" s="81" t="s">
        <v>291</v>
      </c>
      <c r="Q24" s="77" t="s">
        <v>189</v>
      </c>
    </row>
    <row r="25" spans="1:17" ht="33.65" customHeight="1" x14ac:dyDescent="0.25">
      <c r="A25" s="130">
        <f t="shared" si="0"/>
        <v>21</v>
      </c>
      <c r="B25" s="5" t="s">
        <v>292</v>
      </c>
      <c r="C25" s="5" t="s">
        <v>20</v>
      </c>
      <c r="D25" s="77" t="str">
        <f>VLOOKUP(JCM[[#This Row],[Host country]],Country_Mapping[],COLUMN(Country_Mapping[[#Headers],[Region]]),0)</f>
        <v>Asia</v>
      </c>
      <c r="E25" s="77" t="str">
        <f>VLOOKUP(JCM[[#This Row],[Host country]],Country_Mapping[],COLUMN(Country_Mapping[[#Headers],[Sub-region]]),0)</f>
        <v>Southeast Asia</v>
      </c>
      <c r="F25" s="5" t="s">
        <v>293</v>
      </c>
      <c r="G25" s="5" t="s">
        <v>197</v>
      </c>
      <c r="H25" s="5"/>
      <c r="I25" s="79">
        <f>(449/1000000)*1000</f>
        <v>0.44900000000000001</v>
      </c>
      <c r="J25" s="5" t="s">
        <v>184</v>
      </c>
      <c r="K25" s="5" t="s">
        <v>294</v>
      </c>
      <c r="L25" s="5" t="s">
        <v>295</v>
      </c>
      <c r="M25" s="5"/>
      <c r="N25" s="5" t="s">
        <v>187</v>
      </c>
      <c r="O25" s="81" t="s">
        <v>296</v>
      </c>
      <c r="Q25" s="77" t="s">
        <v>189</v>
      </c>
    </row>
    <row r="26" spans="1:17" ht="33.65" customHeight="1" x14ac:dyDescent="0.25">
      <c r="A26" s="130">
        <f t="shared" si="0"/>
        <v>22</v>
      </c>
      <c r="B26" s="5" t="s">
        <v>297</v>
      </c>
      <c r="C26" s="5" t="s">
        <v>20</v>
      </c>
      <c r="D26" s="77" t="str">
        <f>VLOOKUP(JCM[[#This Row],[Host country]],Country_Mapping[],COLUMN(Country_Mapping[[#Headers],[Region]]),0)</f>
        <v>Asia</v>
      </c>
      <c r="E26" s="77" t="str">
        <f>VLOOKUP(JCM[[#This Row],[Host country]],Country_Mapping[],COLUMN(Country_Mapping[[#Headers],[Sub-region]]),0)</f>
        <v>Southeast Asia</v>
      </c>
      <c r="F26" s="5" t="s">
        <v>298</v>
      </c>
      <c r="G26" s="5" t="s">
        <v>197</v>
      </c>
      <c r="H26" s="5" t="s">
        <v>229</v>
      </c>
      <c r="I26" s="79">
        <f>(1526/1000000)*1000</f>
        <v>1.526</v>
      </c>
      <c r="J26" s="5" t="s">
        <v>184</v>
      </c>
      <c r="K26" s="5" t="s">
        <v>299</v>
      </c>
      <c r="L26" s="5" t="s">
        <v>300</v>
      </c>
      <c r="M26" s="5"/>
      <c r="N26" s="5" t="s">
        <v>187</v>
      </c>
      <c r="O26" s="81" t="s">
        <v>301</v>
      </c>
      <c r="Q26" s="77" t="s">
        <v>189</v>
      </c>
    </row>
    <row r="27" spans="1:17" ht="33.65" customHeight="1" x14ac:dyDescent="0.25">
      <c r="A27" s="130">
        <f t="shared" si="0"/>
        <v>23</v>
      </c>
      <c r="B27" s="5" t="s">
        <v>302</v>
      </c>
      <c r="C27" s="5" t="s">
        <v>20</v>
      </c>
      <c r="D27" s="77" t="str">
        <f>VLOOKUP(JCM[[#This Row],[Host country]],Country_Mapping[],COLUMN(Country_Mapping[[#Headers],[Region]]),0)</f>
        <v>Asia</v>
      </c>
      <c r="E27" s="77" t="str">
        <f>VLOOKUP(JCM[[#This Row],[Host country]],Country_Mapping[],COLUMN(Country_Mapping[[#Headers],[Sub-region]]),0)</f>
        <v>Southeast Asia</v>
      </c>
      <c r="F27" s="5" t="s">
        <v>303</v>
      </c>
      <c r="G27" s="5" t="s">
        <v>197</v>
      </c>
      <c r="H27" s="5"/>
      <c r="I27" s="79">
        <f>(414/1000000)*1000</f>
        <v>0.41399999999999998</v>
      </c>
      <c r="J27" s="5" t="s">
        <v>184</v>
      </c>
      <c r="K27" s="5" t="s">
        <v>304</v>
      </c>
      <c r="L27" s="5" t="s">
        <v>305</v>
      </c>
      <c r="M27" s="5"/>
      <c r="N27" s="5" t="s">
        <v>187</v>
      </c>
      <c r="O27" s="81" t="s">
        <v>306</v>
      </c>
      <c r="Q27" s="77" t="s">
        <v>189</v>
      </c>
    </row>
    <row r="28" spans="1:17" ht="33.65" customHeight="1" x14ac:dyDescent="0.25">
      <c r="A28" s="130">
        <f t="shared" si="0"/>
        <v>24</v>
      </c>
      <c r="B28" s="5" t="s">
        <v>307</v>
      </c>
      <c r="C28" s="5" t="s">
        <v>20</v>
      </c>
      <c r="D28" s="77" t="str">
        <f>VLOOKUP(JCM[[#This Row],[Host country]],Country_Mapping[],COLUMN(Country_Mapping[[#Headers],[Region]]),0)</f>
        <v>Asia</v>
      </c>
      <c r="E28" s="77" t="str">
        <f>VLOOKUP(JCM[[#This Row],[Host country]],Country_Mapping[],COLUMN(Country_Mapping[[#Headers],[Sub-region]]),0)</f>
        <v>Southeast Asia</v>
      </c>
      <c r="F28" s="5" t="s">
        <v>308</v>
      </c>
      <c r="G28" s="5" t="s">
        <v>197</v>
      </c>
      <c r="H28" s="5" t="s">
        <v>309</v>
      </c>
      <c r="I28" s="79">
        <f>(108/1000000)*1000</f>
        <v>0.108</v>
      </c>
      <c r="J28" s="5" t="s">
        <v>184</v>
      </c>
      <c r="K28" s="5" t="s">
        <v>310</v>
      </c>
      <c r="L28" s="5" t="s">
        <v>311</v>
      </c>
      <c r="M28" s="5"/>
      <c r="N28" s="5" t="s">
        <v>187</v>
      </c>
      <c r="O28" s="81" t="s">
        <v>312</v>
      </c>
      <c r="Q28" s="77" t="s">
        <v>189</v>
      </c>
    </row>
    <row r="29" spans="1:17" ht="33.65" customHeight="1" x14ac:dyDescent="0.25">
      <c r="A29" s="130">
        <f t="shared" si="0"/>
        <v>25</v>
      </c>
      <c r="B29" s="5" t="s">
        <v>313</v>
      </c>
      <c r="C29" s="5" t="s">
        <v>20</v>
      </c>
      <c r="D29" s="77" t="str">
        <f>VLOOKUP(JCM[[#This Row],[Host country]],Country_Mapping[],COLUMN(Country_Mapping[[#Headers],[Region]]),0)</f>
        <v>Asia</v>
      </c>
      <c r="E29" s="77" t="str">
        <f>VLOOKUP(JCM[[#This Row],[Host country]],Country_Mapping[],COLUMN(Country_Mapping[[#Headers],[Sub-region]]),0)</f>
        <v>Southeast Asia</v>
      </c>
      <c r="F29" s="5" t="s">
        <v>314</v>
      </c>
      <c r="G29" s="5" t="s">
        <v>197</v>
      </c>
      <c r="H29" s="5"/>
      <c r="I29" s="79">
        <f>(5327/1000000)*1000</f>
        <v>5.327</v>
      </c>
      <c r="J29" s="5" t="s">
        <v>184</v>
      </c>
      <c r="K29" s="5" t="s">
        <v>315</v>
      </c>
      <c r="L29" s="5" t="s">
        <v>316</v>
      </c>
      <c r="M29" s="5"/>
      <c r="N29" s="5" t="s">
        <v>187</v>
      </c>
      <c r="O29" s="77" t="s">
        <v>317</v>
      </c>
      <c r="Q29" s="77" t="s">
        <v>189</v>
      </c>
    </row>
    <row r="30" spans="1:17" ht="33.65" customHeight="1" x14ac:dyDescent="0.25">
      <c r="A30" s="130">
        <f t="shared" si="0"/>
        <v>26</v>
      </c>
      <c r="B30" s="5" t="s">
        <v>318</v>
      </c>
      <c r="C30" s="5" t="s">
        <v>20</v>
      </c>
      <c r="D30" s="77" t="str">
        <f>VLOOKUP(JCM[[#This Row],[Host country]],Country_Mapping[],COLUMN(Country_Mapping[[#Headers],[Region]]),0)</f>
        <v>Asia</v>
      </c>
      <c r="E30" s="77" t="str">
        <f>VLOOKUP(JCM[[#This Row],[Host country]],Country_Mapping[],COLUMN(Country_Mapping[[#Headers],[Sub-region]]),0)</f>
        <v>Southeast Asia</v>
      </c>
      <c r="F30" s="5" t="s">
        <v>319</v>
      </c>
      <c r="G30" s="5" t="s">
        <v>56</v>
      </c>
      <c r="H30" s="5" t="s">
        <v>57</v>
      </c>
      <c r="I30" s="79">
        <f>(417/1000000)*1000</f>
        <v>0.41699999999999998</v>
      </c>
      <c r="J30" s="5" t="s">
        <v>184</v>
      </c>
      <c r="K30" s="5" t="s">
        <v>320</v>
      </c>
      <c r="L30" s="5" t="s">
        <v>321</v>
      </c>
      <c r="M30" s="5"/>
      <c r="N30" s="5" t="s">
        <v>187</v>
      </c>
      <c r="O30" s="77" t="s">
        <v>322</v>
      </c>
      <c r="Q30" s="77" t="s">
        <v>189</v>
      </c>
    </row>
    <row r="31" spans="1:17" ht="33.65" customHeight="1" x14ac:dyDescent="0.25">
      <c r="A31" s="130">
        <f t="shared" si="0"/>
        <v>27</v>
      </c>
      <c r="B31" s="5" t="s">
        <v>323</v>
      </c>
      <c r="C31" s="5" t="s">
        <v>20</v>
      </c>
      <c r="D31" s="77" t="str">
        <f>VLOOKUP(JCM[[#This Row],[Host country]],Country_Mapping[],COLUMN(Country_Mapping[[#Headers],[Region]]),0)</f>
        <v>Asia</v>
      </c>
      <c r="E31" s="77" t="str">
        <f>VLOOKUP(JCM[[#This Row],[Host country]],Country_Mapping[],COLUMN(Country_Mapping[[#Headers],[Sub-region]]),0)</f>
        <v>Southeast Asia</v>
      </c>
      <c r="F31" s="5" t="s">
        <v>324</v>
      </c>
      <c r="G31" s="5" t="s">
        <v>56</v>
      </c>
      <c r="H31" s="5" t="s">
        <v>57</v>
      </c>
      <c r="I31" s="79">
        <f>(394/1000000)*1000</f>
        <v>0.39399999999999996</v>
      </c>
      <c r="J31" s="5" t="s">
        <v>184</v>
      </c>
      <c r="K31" s="5" t="s">
        <v>325</v>
      </c>
      <c r="L31" s="5" t="s">
        <v>325</v>
      </c>
      <c r="M31" s="5"/>
      <c r="N31" s="5" t="s">
        <v>187</v>
      </c>
      <c r="O31" s="81" t="s">
        <v>326</v>
      </c>
      <c r="Q31" s="77" t="s">
        <v>189</v>
      </c>
    </row>
    <row r="32" spans="1:17" ht="33.65" customHeight="1" x14ac:dyDescent="0.25">
      <c r="A32" s="130">
        <f t="shared" si="0"/>
        <v>28</v>
      </c>
      <c r="B32" s="5" t="s">
        <v>327</v>
      </c>
      <c r="C32" s="5" t="s">
        <v>20</v>
      </c>
      <c r="D32" s="77" t="str">
        <f>VLOOKUP(JCM[[#This Row],[Host country]],Country_Mapping[],COLUMN(Country_Mapping[[#Headers],[Region]]),0)</f>
        <v>Asia</v>
      </c>
      <c r="E32" s="77" t="str">
        <f>VLOOKUP(JCM[[#This Row],[Host country]],Country_Mapping[],COLUMN(Country_Mapping[[#Headers],[Sub-region]]),0)</f>
        <v>Southeast Asia</v>
      </c>
      <c r="F32" s="5" t="s">
        <v>328</v>
      </c>
      <c r="G32" s="5" t="s">
        <v>56</v>
      </c>
      <c r="H32" s="5" t="s">
        <v>57</v>
      </c>
      <c r="I32" s="79">
        <f>(1344/1000000)*1000</f>
        <v>1.3439999999999999</v>
      </c>
      <c r="J32" s="5" t="s">
        <v>184</v>
      </c>
      <c r="K32" s="5" t="s">
        <v>329</v>
      </c>
      <c r="L32" s="5" t="s">
        <v>329</v>
      </c>
      <c r="M32" s="5"/>
      <c r="N32" s="5" t="s">
        <v>187</v>
      </c>
      <c r="O32" s="81" t="s">
        <v>330</v>
      </c>
      <c r="Q32" s="77" t="s">
        <v>189</v>
      </c>
    </row>
    <row r="33" spans="1:17" ht="33.65" customHeight="1" x14ac:dyDescent="0.25">
      <c r="A33" s="130">
        <f t="shared" si="0"/>
        <v>29</v>
      </c>
      <c r="B33" s="5" t="s">
        <v>331</v>
      </c>
      <c r="C33" s="5" t="s">
        <v>20</v>
      </c>
      <c r="D33" s="77" t="str">
        <f>VLOOKUP(JCM[[#This Row],[Host country]],Country_Mapping[],COLUMN(Country_Mapping[[#Headers],[Region]]),0)</f>
        <v>Asia</v>
      </c>
      <c r="E33" s="77" t="str">
        <f>VLOOKUP(JCM[[#This Row],[Host country]],Country_Mapping[],COLUMN(Country_Mapping[[#Headers],[Sub-region]]),0)</f>
        <v>Southeast Asia</v>
      </c>
      <c r="F33" s="5" t="s">
        <v>332</v>
      </c>
      <c r="G33" s="5" t="s">
        <v>56</v>
      </c>
      <c r="H33" s="5" t="s">
        <v>57</v>
      </c>
      <c r="I33" s="79">
        <f>(2539/1000000)*1000</f>
        <v>2.5390000000000001</v>
      </c>
      <c r="J33" s="5" t="s">
        <v>184</v>
      </c>
      <c r="K33" s="5" t="s">
        <v>333</v>
      </c>
      <c r="L33" s="5" t="s">
        <v>334</v>
      </c>
      <c r="M33" s="5"/>
      <c r="N33" s="5" t="s">
        <v>187</v>
      </c>
      <c r="O33" s="81" t="s">
        <v>335</v>
      </c>
      <c r="Q33" s="77" t="s">
        <v>336</v>
      </c>
    </row>
    <row r="34" spans="1:17" ht="33.65" customHeight="1" x14ac:dyDescent="0.25">
      <c r="A34" s="130">
        <f t="shared" si="0"/>
        <v>30</v>
      </c>
      <c r="B34" s="5" t="s">
        <v>337</v>
      </c>
      <c r="C34" s="5" t="s">
        <v>20</v>
      </c>
      <c r="D34" s="77" t="str">
        <f>VLOOKUP(JCM[[#This Row],[Host country]],Country_Mapping[],COLUMN(Country_Mapping[[#Headers],[Region]]),0)</f>
        <v>Asia</v>
      </c>
      <c r="E34" s="77" t="str">
        <f>VLOOKUP(JCM[[#This Row],[Host country]],Country_Mapping[],COLUMN(Country_Mapping[[#Headers],[Sub-region]]),0)</f>
        <v>Southeast Asia</v>
      </c>
      <c r="F34" s="5" t="s">
        <v>21</v>
      </c>
      <c r="G34" s="5" t="s">
        <v>338</v>
      </c>
      <c r="H34" s="5" t="s">
        <v>339</v>
      </c>
      <c r="I34" s="79">
        <f>(7122/1000000)*1000</f>
        <v>7.1219999999999999</v>
      </c>
      <c r="J34" s="5" t="s">
        <v>184</v>
      </c>
      <c r="K34" s="5" t="s">
        <v>340</v>
      </c>
      <c r="L34" s="5" t="s">
        <v>341</v>
      </c>
      <c r="M34" s="5"/>
      <c r="N34" s="5"/>
      <c r="O34" s="81" t="s">
        <v>342</v>
      </c>
      <c r="Q34" s="77" t="s">
        <v>343</v>
      </c>
    </row>
    <row r="35" spans="1:17" ht="33.65" customHeight="1" x14ac:dyDescent="0.25">
      <c r="A35" s="130">
        <f t="shared" si="0"/>
        <v>31</v>
      </c>
      <c r="B35" s="5" t="s">
        <v>344</v>
      </c>
      <c r="C35" s="5" t="s">
        <v>20</v>
      </c>
      <c r="D35" s="77" t="str">
        <f>VLOOKUP(JCM[[#This Row],[Host country]],Country_Mapping[],COLUMN(Country_Mapping[[#Headers],[Region]]),0)</f>
        <v>Asia</v>
      </c>
      <c r="E35" s="77" t="str">
        <f>VLOOKUP(JCM[[#This Row],[Host country]],Country_Mapping[],COLUMN(Country_Mapping[[#Headers],[Sub-region]]),0)</f>
        <v>Southeast Asia</v>
      </c>
      <c r="F35" s="5" t="s">
        <v>319</v>
      </c>
      <c r="G35" s="5" t="s">
        <v>56</v>
      </c>
      <c r="H35" s="5" t="s">
        <v>57</v>
      </c>
      <c r="I35" s="79">
        <f>(417/1000000)*1000</f>
        <v>0.41699999999999998</v>
      </c>
      <c r="J35" s="5" t="s">
        <v>184</v>
      </c>
      <c r="K35" s="5" t="s">
        <v>320</v>
      </c>
      <c r="L35" s="5" t="s">
        <v>345</v>
      </c>
      <c r="M35" s="5"/>
      <c r="N35" s="5" t="s">
        <v>187</v>
      </c>
      <c r="O35" s="81" t="s">
        <v>346</v>
      </c>
      <c r="Q35" s="77" t="s">
        <v>347</v>
      </c>
    </row>
    <row r="36" spans="1:17" ht="33.65" customHeight="1" x14ac:dyDescent="0.25">
      <c r="A36" s="130">
        <f t="shared" si="0"/>
        <v>32</v>
      </c>
      <c r="B36" s="5" t="s">
        <v>323</v>
      </c>
      <c r="C36" s="5" t="s">
        <v>20</v>
      </c>
      <c r="D36" s="77" t="str">
        <f>VLOOKUP(JCM[[#This Row],[Host country]],Country_Mapping[],COLUMN(Country_Mapping[[#Headers],[Region]]),0)</f>
        <v>Asia</v>
      </c>
      <c r="E36" s="77" t="str">
        <f>VLOOKUP(JCM[[#This Row],[Host country]],Country_Mapping[],COLUMN(Country_Mapping[[#Headers],[Sub-region]]),0)</f>
        <v>Southeast Asia</v>
      </c>
      <c r="F36" s="5" t="s">
        <v>324</v>
      </c>
      <c r="G36" s="5" t="s">
        <v>56</v>
      </c>
      <c r="H36" s="5" t="s">
        <v>57</v>
      </c>
      <c r="I36" s="79">
        <f>(394/1000000)*1000</f>
        <v>0.39399999999999996</v>
      </c>
      <c r="J36" s="5" t="s">
        <v>184</v>
      </c>
      <c r="K36" s="5" t="s">
        <v>325</v>
      </c>
      <c r="L36" s="5" t="s">
        <v>321</v>
      </c>
      <c r="M36" s="5"/>
      <c r="N36" s="5" t="s">
        <v>187</v>
      </c>
      <c r="O36" s="81" t="s">
        <v>326</v>
      </c>
      <c r="Q36" s="77" t="s">
        <v>347</v>
      </c>
    </row>
    <row r="37" spans="1:17" ht="33.65" customHeight="1" x14ac:dyDescent="0.25">
      <c r="A37" s="130">
        <f t="shared" si="0"/>
        <v>33</v>
      </c>
      <c r="B37" s="5" t="s">
        <v>327</v>
      </c>
      <c r="C37" s="5" t="s">
        <v>20</v>
      </c>
      <c r="D37" s="77" t="str">
        <f>VLOOKUP(JCM[[#This Row],[Host country]],Country_Mapping[],COLUMN(Country_Mapping[[#Headers],[Region]]),0)</f>
        <v>Asia</v>
      </c>
      <c r="E37" s="77" t="str">
        <f>VLOOKUP(JCM[[#This Row],[Host country]],Country_Mapping[],COLUMN(Country_Mapping[[#Headers],[Sub-region]]),0)</f>
        <v>Southeast Asia</v>
      </c>
      <c r="F37" s="5" t="s">
        <v>348</v>
      </c>
      <c r="G37" s="5" t="s">
        <v>56</v>
      </c>
      <c r="H37" s="5" t="s">
        <v>57</v>
      </c>
      <c r="I37" s="79">
        <f>(1616/1000000)*1000</f>
        <v>1.6160000000000001</v>
      </c>
      <c r="J37" s="5" t="s">
        <v>184</v>
      </c>
      <c r="K37" s="5" t="s">
        <v>329</v>
      </c>
      <c r="L37" s="5" t="s">
        <v>349</v>
      </c>
      <c r="M37" s="5"/>
      <c r="N37" s="5" t="s">
        <v>187</v>
      </c>
      <c r="O37" s="81" t="s">
        <v>350</v>
      </c>
      <c r="Q37" s="77" t="s">
        <v>351</v>
      </c>
    </row>
    <row r="38" spans="1:17" ht="33.65" customHeight="1" x14ac:dyDescent="0.25">
      <c r="A38" s="130">
        <f t="shared" si="0"/>
        <v>34</v>
      </c>
      <c r="B38" s="5" t="s">
        <v>352</v>
      </c>
      <c r="C38" s="5" t="s">
        <v>20</v>
      </c>
      <c r="D38" s="77" t="str">
        <f>VLOOKUP(JCM[[#This Row],[Host country]],Country_Mapping[],COLUMN(Country_Mapping[[#Headers],[Region]]),0)</f>
        <v>Asia</v>
      </c>
      <c r="E38" s="77" t="str">
        <f>VLOOKUP(JCM[[#This Row],[Host country]],Country_Mapping[],COLUMN(Country_Mapping[[#Headers],[Sub-region]]),0)</f>
        <v>Southeast Asia</v>
      </c>
      <c r="F38" s="5" t="s">
        <v>353</v>
      </c>
      <c r="G38" s="5" t="s">
        <v>56</v>
      </c>
      <c r="H38" s="5" t="s">
        <v>57</v>
      </c>
      <c r="I38" s="79">
        <f>(12699/1000000)*1000</f>
        <v>12.699</v>
      </c>
      <c r="J38" s="5" t="s">
        <v>184</v>
      </c>
      <c r="K38" s="5" t="s">
        <v>354</v>
      </c>
      <c r="L38" s="5" t="s">
        <v>355</v>
      </c>
      <c r="M38" s="5"/>
      <c r="N38" s="5" t="s">
        <v>187</v>
      </c>
      <c r="O38" s="81" t="s">
        <v>356</v>
      </c>
      <c r="Q38" s="77" t="s">
        <v>357</v>
      </c>
    </row>
    <row r="39" spans="1:17" ht="33.65" customHeight="1" x14ac:dyDescent="0.25">
      <c r="A39" s="130">
        <f t="shared" si="0"/>
        <v>35</v>
      </c>
      <c r="B39" s="5" t="s">
        <v>358</v>
      </c>
      <c r="C39" s="5" t="s">
        <v>20</v>
      </c>
      <c r="D39" s="77" t="str">
        <f>VLOOKUP(JCM[[#This Row],[Host country]],Country_Mapping[],COLUMN(Country_Mapping[[#Headers],[Region]]),0)</f>
        <v>Asia</v>
      </c>
      <c r="E39" s="77" t="str">
        <f>VLOOKUP(JCM[[#This Row],[Host country]],Country_Mapping[],COLUMN(Country_Mapping[[#Headers],[Sub-region]]),0)</f>
        <v>Southeast Asia</v>
      </c>
      <c r="F39" s="5" t="s">
        <v>359</v>
      </c>
      <c r="G39" s="5" t="s">
        <v>197</v>
      </c>
      <c r="H39" s="5" t="s">
        <v>309</v>
      </c>
      <c r="I39" s="79">
        <f>(942/1000000)*1000</f>
        <v>0.94200000000000006</v>
      </c>
      <c r="J39" s="5" t="s">
        <v>184</v>
      </c>
      <c r="K39" s="5" t="s">
        <v>360</v>
      </c>
      <c r="L39" s="5" t="s">
        <v>361</v>
      </c>
      <c r="M39" s="5"/>
      <c r="N39" s="5" t="s">
        <v>187</v>
      </c>
      <c r="O39" s="81" t="s">
        <v>362</v>
      </c>
      <c r="Q39" s="77" t="s">
        <v>363</v>
      </c>
    </row>
    <row r="40" spans="1:17" ht="33.65" customHeight="1" x14ac:dyDescent="0.25">
      <c r="A40" s="130">
        <f t="shared" si="0"/>
        <v>36</v>
      </c>
      <c r="B40" s="5" t="s">
        <v>364</v>
      </c>
      <c r="C40" s="5" t="s">
        <v>20</v>
      </c>
      <c r="D40" s="77" t="str">
        <f>VLOOKUP(JCM[[#This Row],[Host country]],Country_Mapping[],COLUMN(Country_Mapping[[#Headers],[Region]]),0)</f>
        <v>Asia</v>
      </c>
      <c r="E40" s="77" t="str">
        <f>VLOOKUP(JCM[[#This Row],[Host country]],Country_Mapping[],COLUMN(Country_Mapping[[#Headers],[Sub-region]]),0)</f>
        <v>Southeast Asia</v>
      </c>
      <c r="F40" s="5" t="s">
        <v>365</v>
      </c>
      <c r="G40" s="5" t="s">
        <v>197</v>
      </c>
      <c r="H40" s="5" t="s">
        <v>366</v>
      </c>
      <c r="I40" s="79">
        <f>(173/1000000)*1000</f>
        <v>0.17300000000000001</v>
      </c>
      <c r="J40" s="5" t="s">
        <v>184</v>
      </c>
      <c r="K40" s="5" t="s">
        <v>367</v>
      </c>
      <c r="L40" s="5" t="s">
        <v>368</v>
      </c>
      <c r="M40" s="5"/>
      <c r="N40" s="5" t="s">
        <v>187</v>
      </c>
      <c r="O40" s="81" t="s">
        <v>369</v>
      </c>
      <c r="Q40" s="77" t="s">
        <v>370</v>
      </c>
    </row>
    <row r="41" spans="1:17" ht="33.65" customHeight="1" x14ac:dyDescent="0.25">
      <c r="A41" s="130">
        <f t="shared" si="0"/>
        <v>37</v>
      </c>
      <c r="B41" s="5" t="s">
        <v>371</v>
      </c>
      <c r="C41" s="5" t="s">
        <v>20</v>
      </c>
      <c r="D41" s="77" t="str">
        <f>VLOOKUP(JCM[[#This Row],[Host country]],Country_Mapping[],COLUMN(Country_Mapping[[#Headers],[Region]]),0)</f>
        <v>Asia</v>
      </c>
      <c r="E41" s="77" t="str">
        <f>VLOOKUP(JCM[[#This Row],[Host country]],Country_Mapping[],COLUMN(Country_Mapping[[#Headers],[Sub-region]]),0)</f>
        <v>Southeast Asia</v>
      </c>
      <c r="F41" s="5" t="s">
        <v>372</v>
      </c>
      <c r="G41" s="5" t="s">
        <v>197</v>
      </c>
      <c r="H41" s="5" t="s">
        <v>373</v>
      </c>
      <c r="I41" s="79">
        <f>(29206/1000000)*1000</f>
        <v>29.206</v>
      </c>
      <c r="J41" s="5" t="s">
        <v>184</v>
      </c>
      <c r="K41" s="5" t="s">
        <v>374</v>
      </c>
      <c r="L41" s="5" t="s">
        <v>375</v>
      </c>
      <c r="M41" s="5"/>
      <c r="N41" s="5" t="s">
        <v>187</v>
      </c>
      <c r="O41" s="81" t="s">
        <v>376</v>
      </c>
      <c r="Q41" s="77" t="s">
        <v>377</v>
      </c>
    </row>
    <row r="42" spans="1:17" ht="33.65" customHeight="1" x14ac:dyDescent="0.25">
      <c r="A42" s="130">
        <f t="shared" si="0"/>
        <v>38</v>
      </c>
      <c r="B42" s="5" t="s">
        <v>378</v>
      </c>
      <c r="C42" s="5" t="s">
        <v>20</v>
      </c>
      <c r="D42" s="77" t="str">
        <f>VLOOKUP(JCM[[#This Row],[Host country]],Country_Mapping[],COLUMN(Country_Mapping[[#Headers],[Region]]),0)</f>
        <v>Asia</v>
      </c>
      <c r="E42" s="77" t="str">
        <f>VLOOKUP(JCM[[#This Row],[Host country]],Country_Mapping[],COLUMN(Country_Mapping[[#Headers],[Sub-region]]),0)</f>
        <v>Southeast Asia</v>
      </c>
      <c r="F42" s="5" t="s">
        <v>379</v>
      </c>
      <c r="G42" s="5" t="s">
        <v>56</v>
      </c>
      <c r="H42" s="5" t="s">
        <v>57</v>
      </c>
      <c r="I42" s="79">
        <f>(1071/1000000)*1000</f>
        <v>1.071</v>
      </c>
      <c r="J42" s="5" t="s">
        <v>184</v>
      </c>
      <c r="K42" s="5" t="s">
        <v>380</v>
      </c>
      <c r="L42" s="5" t="s">
        <v>355</v>
      </c>
      <c r="M42" s="5"/>
      <c r="N42" s="5" t="s">
        <v>187</v>
      </c>
      <c r="O42" s="81" t="s">
        <v>381</v>
      </c>
      <c r="Q42" s="77" t="s">
        <v>382</v>
      </c>
    </row>
    <row r="43" spans="1:17" ht="33.65" customHeight="1" x14ac:dyDescent="0.25">
      <c r="A43" s="130">
        <f t="shared" si="0"/>
        <v>39</v>
      </c>
      <c r="B43" s="5" t="s">
        <v>383</v>
      </c>
      <c r="C43" s="5" t="s">
        <v>20</v>
      </c>
      <c r="D43" s="77" t="str">
        <f>VLOOKUP(JCM[[#This Row],[Host country]],Country_Mapping[],COLUMN(Country_Mapping[[#Headers],[Region]]),0)</f>
        <v>Asia</v>
      </c>
      <c r="E43" s="77" t="str">
        <f>VLOOKUP(JCM[[#This Row],[Host country]],Country_Mapping[],COLUMN(Country_Mapping[[#Headers],[Sub-region]]),0)</f>
        <v>Southeast Asia</v>
      </c>
      <c r="F43" s="5" t="s">
        <v>384</v>
      </c>
      <c r="G43" s="5" t="s">
        <v>197</v>
      </c>
      <c r="H43" s="5" t="s">
        <v>366</v>
      </c>
      <c r="I43" s="79">
        <f>(324/1000000)*1000</f>
        <v>0.32400000000000001</v>
      </c>
      <c r="J43" s="5" t="s">
        <v>184</v>
      </c>
      <c r="K43" s="5" t="s">
        <v>385</v>
      </c>
      <c r="L43" s="5" t="s">
        <v>386</v>
      </c>
      <c r="M43" s="5"/>
      <c r="N43" s="5" t="s">
        <v>187</v>
      </c>
      <c r="O43" s="81" t="s">
        <v>387</v>
      </c>
      <c r="Q43" s="77" t="s">
        <v>388</v>
      </c>
    </row>
    <row r="44" spans="1:17" ht="33.65" customHeight="1" x14ac:dyDescent="0.25">
      <c r="A44" s="130">
        <f t="shared" si="0"/>
        <v>40</v>
      </c>
      <c r="B44" s="5" t="s">
        <v>389</v>
      </c>
      <c r="C44" s="5" t="s">
        <v>20</v>
      </c>
      <c r="D44" s="77" t="str">
        <f>VLOOKUP(JCM[[#This Row],[Host country]],Country_Mapping[],COLUMN(Country_Mapping[[#Headers],[Region]]),0)</f>
        <v>Asia</v>
      </c>
      <c r="E44" s="77" t="str">
        <f>VLOOKUP(JCM[[#This Row],[Host country]],Country_Mapping[],COLUMN(Country_Mapping[[#Headers],[Sub-region]]),0)</f>
        <v>Southeast Asia</v>
      </c>
      <c r="F44" s="5" t="s">
        <v>384</v>
      </c>
      <c r="G44" s="5" t="s">
        <v>197</v>
      </c>
      <c r="H44" s="5" t="s">
        <v>366</v>
      </c>
      <c r="I44" s="79">
        <f>(3327/1000000)*1000</f>
        <v>3.327</v>
      </c>
      <c r="J44" s="5" t="s">
        <v>184</v>
      </c>
      <c r="K44" s="5" t="s">
        <v>385</v>
      </c>
      <c r="L44" s="5" t="s">
        <v>386</v>
      </c>
      <c r="M44" s="5"/>
      <c r="N44" s="5"/>
      <c r="O44" s="81" t="s">
        <v>390</v>
      </c>
      <c r="Q44" s="77" t="s">
        <v>388</v>
      </c>
    </row>
    <row r="45" spans="1:17" ht="33.65" customHeight="1" x14ac:dyDescent="0.25">
      <c r="A45" s="130">
        <f t="shared" si="0"/>
        <v>41</v>
      </c>
      <c r="B45" s="5" t="s">
        <v>391</v>
      </c>
      <c r="C45" s="5" t="s">
        <v>20</v>
      </c>
      <c r="D45" s="77" t="str">
        <f>VLOOKUP(JCM[[#This Row],[Host country]],Country_Mapping[],COLUMN(Country_Mapping[[#Headers],[Region]]),0)</f>
        <v>Asia</v>
      </c>
      <c r="E45" s="77" t="str">
        <f>VLOOKUP(JCM[[#This Row],[Host country]],Country_Mapping[],COLUMN(Country_Mapping[[#Headers],[Sub-region]]),0)</f>
        <v>Southeast Asia</v>
      </c>
      <c r="F45" s="5" t="s">
        <v>392</v>
      </c>
      <c r="G45" s="5" t="s">
        <v>197</v>
      </c>
      <c r="H45" s="5" t="s">
        <v>393</v>
      </c>
      <c r="I45" s="79">
        <f>(253/1000000)*1000</f>
        <v>0.253</v>
      </c>
      <c r="J45" s="5" t="s">
        <v>184</v>
      </c>
      <c r="K45" s="5" t="s">
        <v>394</v>
      </c>
      <c r="L45" s="5" t="s">
        <v>395</v>
      </c>
      <c r="M45" s="5"/>
      <c r="N45" s="5" t="s">
        <v>187</v>
      </c>
      <c r="O45" s="81" t="s">
        <v>396</v>
      </c>
      <c r="Q45" s="77" t="s">
        <v>388</v>
      </c>
    </row>
    <row r="46" spans="1:17" ht="33.65" customHeight="1" x14ac:dyDescent="0.25">
      <c r="A46" s="130">
        <f t="shared" si="0"/>
        <v>42</v>
      </c>
      <c r="B46" s="5" t="s">
        <v>397</v>
      </c>
      <c r="C46" s="5" t="s">
        <v>20</v>
      </c>
      <c r="D46" s="77" t="str">
        <f>VLOOKUP(JCM[[#This Row],[Host country]],Country_Mapping[],COLUMN(Country_Mapping[[#Headers],[Region]]),0)</f>
        <v>Asia</v>
      </c>
      <c r="E46" s="77" t="str">
        <f>VLOOKUP(JCM[[#This Row],[Host country]],Country_Mapping[],COLUMN(Country_Mapping[[#Headers],[Sub-region]]),0)</f>
        <v>Southeast Asia</v>
      </c>
      <c r="F46" s="5" t="s">
        <v>392</v>
      </c>
      <c r="G46" s="5" t="s">
        <v>56</v>
      </c>
      <c r="H46" s="5" t="s">
        <v>57</v>
      </c>
      <c r="I46" s="79">
        <f>(440/1000000)*1000</f>
        <v>0.44</v>
      </c>
      <c r="J46" s="5" t="s">
        <v>184</v>
      </c>
      <c r="K46" s="5" t="s">
        <v>398</v>
      </c>
      <c r="L46" s="5" t="s">
        <v>399</v>
      </c>
      <c r="M46" s="5"/>
      <c r="N46" s="5" t="s">
        <v>187</v>
      </c>
      <c r="O46" s="81" t="s">
        <v>400</v>
      </c>
      <c r="Q46" s="77" t="s">
        <v>401</v>
      </c>
    </row>
    <row r="47" spans="1:17" ht="33.65" customHeight="1" x14ac:dyDescent="0.25">
      <c r="A47" s="130">
        <f t="shared" si="0"/>
        <v>43</v>
      </c>
      <c r="B47" s="5" t="s">
        <v>402</v>
      </c>
      <c r="C47" s="5" t="s">
        <v>403</v>
      </c>
      <c r="D47" s="77" t="str">
        <f>VLOOKUP(JCM[[#This Row],[Host country]],Country_Mapping[],COLUMN(Country_Mapping[[#Headers],[Region]]),0)</f>
        <v>Asia</v>
      </c>
      <c r="E47" s="77" t="str">
        <f>VLOOKUP(JCM[[#This Row],[Host country]],Country_Mapping[],COLUMN(Country_Mapping[[#Headers],[Sub-region]]),0)</f>
        <v>Western Asia</v>
      </c>
      <c r="F47" s="5" t="s">
        <v>404</v>
      </c>
      <c r="G47" s="5" t="s">
        <v>197</v>
      </c>
      <c r="H47" s="5" t="s">
        <v>229</v>
      </c>
      <c r="I47" s="79">
        <f>(2740/1000000)*1000</f>
        <v>2.7399999999999998</v>
      </c>
      <c r="J47" s="5" t="s">
        <v>184</v>
      </c>
      <c r="K47" s="5" t="s">
        <v>405</v>
      </c>
      <c r="L47" s="5" t="s">
        <v>406</v>
      </c>
      <c r="M47" s="5"/>
      <c r="N47" s="5" t="s">
        <v>187</v>
      </c>
      <c r="O47" s="81" t="s">
        <v>407</v>
      </c>
      <c r="Q47" s="77" t="s">
        <v>408</v>
      </c>
    </row>
    <row r="48" spans="1:17" ht="33.65" customHeight="1" x14ac:dyDescent="0.25">
      <c r="A48" s="130">
        <f t="shared" si="0"/>
        <v>44</v>
      </c>
      <c r="B48" s="5" t="s">
        <v>409</v>
      </c>
      <c r="C48" s="5" t="s">
        <v>410</v>
      </c>
      <c r="D48" s="77" t="str">
        <f>VLOOKUP(JCM[[#This Row],[Host country]],Country_Mapping[],COLUMN(Country_Mapping[[#Headers],[Region]]),0)</f>
        <v>Oceania</v>
      </c>
      <c r="E48" s="77" t="str">
        <f>VLOOKUP(JCM[[#This Row],[Host country]],Country_Mapping[],COLUMN(Country_Mapping[[#Headers],[Sub-region]]),0)</f>
        <v>Micronesia</v>
      </c>
      <c r="F48" s="5" t="s">
        <v>411</v>
      </c>
      <c r="G48" s="5" t="s">
        <v>56</v>
      </c>
      <c r="H48" s="5" t="s">
        <v>57</v>
      </c>
      <c r="I48" s="79">
        <f>(855/1000000)*1000</f>
        <v>0.85499999999999998</v>
      </c>
      <c r="J48" s="5" t="s">
        <v>184</v>
      </c>
      <c r="K48" s="5" t="s">
        <v>412</v>
      </c>
      <c r="L48" s="5" t="s">
        <v>413</v>
      </c>
      <c r="M48" s="5"/>
      <c r="N48" s="5" t="s">
        <v>187</v>
      </c>
      <c r="O48" s="81" t="s">
        <v>414</v>
      </c>
      <c r="Q48" s="77" t="s">
        <v>189</v>
      </c>
    </row>
    <row r="49" spans="1:17" ht="33.65" customHeight="1" x14ac:dyDescent="0.25">
      <c r="A49" s="130">
        <f t="shared" si="0"/>
        <v>45</v>
      </c>
      <c r="B49" s="5" t="s">
        <v>415</v>
      </c>
      <c r="C49" s="5" t="s">
        <v>410</v>
      </c>
      <c r="D49" s="77" t="str">
        <f>VLOOKUP(JCM[[#This Row],[Host country]],Country_Mapping[],COLUMN(Country_Mapping[[#Headers],[Region]]),0)</f>
        <v>Oceania</v>
      </c>
      <c r="E49" s="77" t="str">
        <f>VLOOKUP(JCM[[#This Row],[Host country]],Country_Mapping[],COLUMN(Country_Mapping[[#Headers],[Sub-region]]),0)</f>
        <v>Micronesia</v>
      </c>
      <c r="F49" s="5" t="s">
        <v>416</v>
      </c>
      <c r="G49" s="5" t="s">
        <v>56</v>
      </c>
      <c r="H49" s="5" t="s">
        <v>57</v>
      </c>
      <c r="I49" s="79">
        <f>(259/1000000)*1000</f>
        <v>0.25900000000000001</v>
      </c>
      <c r="J49" s="5" t="s">
        <v>184</v>
      </c>
      <c r="K49" s="5" t="s">
        <v>417</v>
      </c>
      <c r="L49" s="5" t="s">
        <v>355</v>
      </c>
      <c r="M49" s="5"/>
      <c r="N49" s="5" t="s">
        <v>187</v>
      </c>
      <c r="O49" s="81" t="s">
        <v>418</v>
      </c>
      <c r="Q49" s="77" t="s">
        <v>419</v>
      </c>
    </row>
    <row r="50" spans="1:17" ht="33.65" customHeight="1" x14ac:dyDescent="0.25">
      <c r="A50" s="130">
        <f t="shared" si="0"/>
        <v>46</v>
      </c>
      <c r="B50" s="5" t="s">
        <v>420</v>
      </c>
      <c r="C50" s="5" t="s">
        <v>410</v>
      </c>
      <c r="D50" s="77" t="str">
        <f>VLOOKUP(JCM[[#This Row],[Host country]],Country_Mapping[],COLUMN(Country_Mapping[[#Headers],[Region]]),0)</f>
        <v>Oceania</v>
      </c>
      <c r="E50" s="77" t="str">
        <f>VLOOKUP(JCM[[#This Row],[Host country]],Country_Mapping[],COLUMN(Country_Mapping[[#Headers],[Sub-region]]),0)</f>
        <v>Micronesia</v>
      </c>
      <c r="F50" s="5" t="s">
        <v>416</v>
      </c>
      <c r="G50" s="5" t="s">
        <v>56</v>
      </c>
      <c r="H50" s="5" t="s">
        <v>57</v>
      </c>
      <c r="I50" s="79">
        <f>(315/1000000)*1000</f>
        <v>0.315</v>
      </c>
      <c r="J50" s="5" t="s">
        <v>184</v>
      </c>
      <c r="K50" s="5" t="s">
        <v>421</v>
      </c>
      <c r="L50" s="5" t="s">
        <v>399</v>
      </c>
      <c r="M50" s="5"/>
      <c r="N50" s="5" t="s">
        <v>187</v>
      </c>
      <c r="O50" s="81" t="s">
        <v>422</v>
      </c>
      <c r="Q50" s="77" t="s">
        <v>423</v>
      </c>
    </row>
    <row r="51" spans="1:17" ht="33.65" customHeight="1" x14ac:dyDescent="0.25">
      <c r="A51" s="130">
        <f t="shared" si="0"/>
        <v>47</v>
      </c>
      <c r="B51" s="5" t="s">
        <v>424</v>
      </c>
      <c r="C51" s="5" t="s">
        <v>410</v>
      </c>
      <c r="D51" s="77" t="str">
        <f>VLOOKUP(JCM[[#This Row],[Host country]],Country_Mapping[],COLUMN(Country_Mapping[[#Headers],[Region]]),0)</f>
        <v>Oceania</v>
      </c>
      <c r="E51" s="77" t="str">
        <f>VLOOKUP(JCM[[#This Row],[Host country]],Country_Mapping[],COLUMN(Country_Mapping[[#Headers],[Sub-region]]),0)</f>
        <v>Micronesia</v>
      </c>
      <c r="F51" s="5" t="s">
        <v>425</v>
      </c>
      <c r="G51" s="5" t="s">
        <v>56</v>
      </c>
      <c r="H51" s="5" t="s">
        <v>57</v>
      </c>
      <c r="I51" s="79">
        <f>(108/1000000)*1000</f>
        <v>0.108</v>
      </c>
      <c r="J51" s="5" t="s">
        <v>184</v>
      </c>
      <c r="K51" s="5" t="s">
        <v>426</v>
      </c>
      <c r="L51" s="5" t="s">
        <v>427</v>
      </c>
      <c r="M51" s="5"/>
      <c r="N51" s="5" t="s">
        <v>187</v>
      </c>
      <c r="O51" s="81" t="s">
        <v>428</v>
      </c>
      <c r="Q51" s="77" t="s">
        <v>423</v>
      </c>
    </row>
    <row r="52" spans="1:17" ht="33.65" customHeight="1" x14ac:dyDescent="0.25">
      <c r="A52" s="130">
        <f t="shared" si="0"/>
        <v>48</v>
      </c>
      <c r="B52" s="5" t="s">
        <v>429</v>
      </c>
      <c r="C52" s="5" t="s">
        <v>410</v>
      </c>
      <c r="D52" s="77" t="str">
        <f>VLOOKUP(JCM[[#This Row],[Host country]],Country_Mapping[],COLUMN(Country_Mapping[[#Headers],[Region]]),0)</f>
        <v>Oceania</v>
      </c>
      <c r="E52" s="77" t="str">
        <f>VLOOKUP(JCM[[#This Row],[Host country]],Country_Mapping[],COLUMN(Country_Mapping[[#Headers],[Sub-region]]),0)</f>
        <v>Micronesia</v>
      </c>
      <c r="F52" s="5" t="s">
        <v>416</v>
      </c>
      <c r="G52" s="5" t="s">
        <v>56</v>
      </c>
      <c r="H52" s="5" t="s">
        <v>57</v>
      </c>
      <c r="I52" s="79">
        <f>(227/1000000)*1000</f>
        <v>0.22699999999999998</v>
      </c>
      <c r="J52" s="5" t="s">
        <v>184</v>
      </c>
      <c r="K52" s="5" t="s">
        <v>430</v>
      </c>
      <c r="L52" s="5" t="s">
        <v>399</v>
      </c>
      <c r="M52" s="5"/>
      <c r="N52" s="5" t="s">
        <v>187</v>
      </c>
      <c r="O52" s="81" t="s">
        <v>431</v>
      </c>
      <c r="Q52" s="77" t="s">
        <v>432</v>
      </c>
    </row>
    <row r="53" spans="1:17" ht="33.65" customHeight="1" x14ac:dyDescent="0.25">
      <c r="A53" s="130">
        <f t="shared" si="0"/>
        <v>49</v>
      </c>
      <c r="B53" s="5" t="s">
        <v>433</v>
      </c>
      <c r="C53" s="5" t="s">
        <v>434</v>
      </c>
      <c r="D53" s="77" t="str">
        <f>VLOOKUP(JCM[[#This Row],[Host country]],Country_Mapping[],COLUMN(Country_Mapping[[#Headers],[Region]]),0)</f>
        <v>Asia</v>
      </c>
      <c r="E53" s="77" t="str">
        <f>VLOOKUP(JCM[[#This Row],[Host country]],Country_Mapping[],COLUMN(Country_Mapping[[#Headers],[Sub-region]]),0)</f>
        <v>Southeast Asia</v>
      </c>
      <c r="F53" s="5" t="s">
        <v>435</v>
      </c>
      <c r="G53" s="5" t="s">
        <v>56</v>
      </c>
      <c r="H53" s="5" t="s">
        <v>57</v>
      </c>
      <c r="I53" s="79">
        <f>(607/1000000)*1000</f>
        <v>0.60699999999999998</v>
      </c>
      <c r="J53" s="5" t="s">
        <v>184</v>
      </c>
      <c r="K53" s="5" t="s">
        <v>436</v>
      </c>
      <c r="L53" s="5" t="s">
        <v>349</v>
      </c>
      <c r="M53" s="5"/>
      <c r="N53" s="5" t="s">
        <v>187</v>
      </c>
      <c r="O53" s="81" t="s">
        <v>437</v>
      </c>
      <c r="Q53" s="77" t="s">
        <v>438</v>
      </c>
    </row>
    <row r="54" spans="1:17" ht="33.65" customHeight="1" x14ac:dyDescent="0.25">
      <c r="A54" s="130">
        <f t="shared" si="0"/>
        <v>50</v>
      </c>
      <c r="B54" s="5" t="s">
        <v>439</v>
      </c>
      <c r="C54" s="5" t="s">
        <v>434</v>
      </c>
      <c r="D54" s="77" t="str">
        <f>VLOOKUP(JCM[[#This Row],[Host country]],Country_Mapping[],COLUMN(Country_Mapping[[#Headers],[Region]]),0)</f>
        <v>Asia</v>
      </c>
      <c r="E54" s="77" t="str">
        <f>VLOOKUP(JCM[[#This Row],[Host country]],Country_Mapping[],COLUMN(Country_Mapping[[#Headers],[Sub-region]]),0)</f>
        <v>Southeast Asia</v>
      </c>
      <c r="F54" s="5" t="s">
        <v>440</v>
      </c>
      <c r="G54" s="5" t="s">
        <v>56</v>
      </c>
      <c r="H54" s="5" t="s">
        <v>57</v>
      </c>
      <c r="I54" s="79">
        <f>(793/1000000)*1000</f>
        <v>0.79299999999999993</v>
      </c>
      <c r="J54" s="5" t="s">
        <v>184</v>
      </c>
      <c r="K54" s="5" t="s">
        <v>441</v>
      </c>
      <c r="L54" s="5" t="s">
        <v>442</v>
      </c>
      <c r="M54" s="5"/>
      <c r="N54" s="5" t="s">
        <v>187</v>
      </c>
      <c r="O54" s="81" t="s">
        <v>443</v>
      </c>
      <c r="Q54" s="77" t="s">
        <v>444</v>
      </c>
    </row>
    <row r="55" spans="1:17" ht="33.65" customHeight="1" x14ac:dyDescent="0.25">
      <c r="A55" s="130">
        <f t="shared" si="0"/>
        <v>51</v>
      </c>
      <c r="B55" s="5" t="s">
        <v>445</v>
      </c>
      <c r="C55" s="5" t="s">
        <v>434</v>
      </c>
      <c r="D55" s="77" t="str">
        <f>VLOOKUP(JCM[[#This Row],[Host country]],Country_Mapping[],COLUMN(Country_Mapping[[#Headers],[Region]]),0)</f>
        <v>Asia</v>
      </c>
      <c r="E55" s="77" t="str">
        <f>VLOOKUP(JCM[[#This Row],[Host country]],Country_Mapping[],COLUMN(Country_Mapping[[#Headers],[Sub-region]]),0)</f>
        <v>Southeast Asia</v>
      </c>
      <c r="F55" s="5" t="s">
        <v>446</v>
      </c>
      <c r="G55" s="5" t="s">
        <v>56</v>
      </c>
      <c r="H55" s="5" t="s">
        <v>57</v>
      </c>
      <c r="I55" s="79">
        <f>(954/1000000)*1000</f>
        <v>0.95399999999999996</v>
      </c>
      <c r="J55" s="5" t="s">
        <v>184</v>
      </c>
      <c r="K55" s="5" t="s">
        <v>447</v>
      </c>
      <c r="L55" s="5" t="s">
        <v>442</v>
      </c>
      <c r="M55" s="5"/>
      <c r="N55" s="5" t="s">
        <v>187</v>
      </c>
      <c r="O55" s="81" t="s">
        <v>448</v>
      </c>
      <c r="Q55" s="77" t="s">
        <v>444</v>
      </c>
    </row>
    <row r="56" spans="1:17" ht="33.65" customHeight="1" x14ac:dyDescent="0.25">
      <c r="A56" s="130">
        <f t="shared" si="0"/>
        <v>52</v>
      </c>
      <c r="B56" s="5" t="s">
        <v>449</v>
      </c>
      <c r="C56" s="5" t="s">
        <v>434</v>
      </c>
      <c r="D56" s="77" t="str">
        <f>VLOOKUP(JCM[[#This Row],[Host country]],Country_Mapping[],COLUMN(Country_Mapping[[#Headers],[Region]]),0)</f>
        <v>Asia</v>
      </c>
      <c r="E56" s="77" t="str">
        <f>VLOOKUP(JCM[[#This Row],[Host country]],Country_Mapping[],COLUMN(Country_Mapping[[#Headers],[Sub-region]]),0)</f>
        <v>Southeast Asia</v>
      </c>
      <c r="F56" s="5" t="s">
        <v>450</v>
      </c>
      <c r="G56" s="5" t="s">
        <v>56</v>
      </c>
      <c r="H56" s="5" t="s">
        <v>57</v>
      </c>
      <c r="I56" s="79">
        <f>(2494/1000000)*1000</f>
        <v>2.4940000000000002</v>
      </c>
      <c r="J56" s="5" t="s">
        <v>184</v>
      </c>
      <c r="K56" s="5" t="s">
        <v>451</v>
      </c>
      <c r="L56" s="5" t="s">
        <v>355</v>
      </c>
      <c r="M56" s="5"/>
      <c r="N56" s="5" t="s">
        <v>187</v>
      </c>
      <c r="O56" s="81" t="s">
        <v>452</v>
      </c>
      <c r="Q56" s="77" t="s">
        <v>444</v>
      </c>
    </row>
    <row r="57" spans="1:17" ht="33.65" customHeight="1" x14ac:dyDescent="0.25">
      <c r="A57" s="130">
        <f t="shared" si="0"/>
        <v>53</v>
      </c>
      <c r="B57" s="5" t="s">
        <v>453</v>
      </c>
      <c r="C57" s="5" t="s">
        <v>454</v>
      </c>
      <c r="D57" s="77" t="str">
        <f>VLOOKUP(JCM[[#This Row],[Host country]],Country_Mapping[],COLUMN(Country_Mapping[[#Headers],[Region]]),0)</f>
        <v>Asia</v>
      </c>
      <c r="E57" s="77" t="str">
        <f>VLOOKUP(JCM[[#This Row],[Host country]],Country_Mapping[],COLUMN(Country_Mapping[[#Headers],[Sub-region]]),0)</f>
        <v>Southern Asia</v>
      </c>
      <c r="F57" s="5" t="s">
        <v>455</v>
      </c>
      <c r="G57" s="5" t="s">
        <v>56</v>
      </c>
      <c r="H57" s="5" t="s">
        <v>57</v>
      </c>
      <c r="I57" s="79">
        <f>(129/1000000)*1000</f>
        <v>0.129</v>
      </c>
      <c r="J57" s="5" t="s">
        <v>184</v>
      </c>
      <c r="K57" s="5" t="s">
        <v>456</v>
      </c>
      <c r="L57" s="5" t="s">
        <v>457</v>
      </c>
      <c r="M57" s="5"/>
      <c r="N57" s="5" t="s">
        <v>187</v>
      </c>
      <c r="O57" s="81" t="s">
        <v>458</v>
      </c>
      <c r="Q57" s="77" t="s">
        <v>459</v>
      </c>
    </row>
    <row r="58" spans="1:17" ht="33.65" customHeight="1" x14ac:dyDescent="0.25">
      <c r="A58" s="130">
        <f t="shared" si="0"/>
        <v>54</v>
      </c>
      <c r="B58" s="5" t="s">
        <v>460</v>
      </c>
      <c r="C58" s="5" t="s">
        <v>454</v>
      </c>
      <c r="D58" s="77" t="str">
        <f>VLOOKUP(JCM[[#This Row],[Host country]],Country_Mapping[],COLUMN(Country_Mapping[[#Headers],[Region]]),0)</f>
        <v>Asia</v>
      </c>
      <c r="E58" s="77" t="str">
        <f>VLOOKUP(JCM[[#This Row],[Host country]],Country_Mapping[],COLUMN(Country_Mapping[[#Headers],[Sub-region]]),0)</f>
        <v>Southern Asia</v>
      </c>
      <c r="F58" s="5" t="s">
        <v>461</v>
      </c>
      <c r="G58" s="5" t="s">
        <v>56</v>
      </c>
      <c r="H58" s="5" t="s">
        <v>57</v>
      </c>
      <c r="I58" s="79">
        <f>(1080/1000000)*1000</f>
        <v>1.08</v>
      </c>
      <c r="J58" s="5" t="s">
        <v>184</v>
      </c>
      <c r="K58" s="5" t="s">
        <v>462</v>
      </c>
      <c r="L58" s="5"/>
      <c r="M58" s="5"/>
      <c r="N58" s="5" t="s">
        <v>187</v>
      </c>
      <c r="O58" s="81" t="s">
        <v>463</v>
      </c>
      <c r="Q58" s="77" t="s">
        <v>464</v>
      </c>
    </row>
    <row r="59" spans="1:17" ht="33.65" customHeight="1" x14ac:dyDescent="0.25">
      <c r="A59" s="130">
        <f t="shared" si="0"/>
        <v>55</v>
      </c>
      <c r="B59" s="5" t="s">
        <v>465</v>
      </c>
      <c r="C59" s="5" t="s">
        <v>466</v>
      </c>
      <c r="D59" s="77" t="str">
        <f>VLOOKUP(JCM[[#This Row],[Host country]],Country_Mapping[],COLUMN(Country_Mapping[[#Headers],[Region]]),0)</f>
        <v>Asia</v>
      </c>
      <c r="E59" s="77" t="str">
        <f>VLOOKUP(JCM[[#This Row],[Host country]],Country_Mapping[],COLUMN(Country_Mapping[[#Headers],[Sub-region]]),0)</f>
        <v>Eastern Asia</v>
      </c>
      <c r="F59" s="5" t="s">
        <v>467</v>
      </c>
      <c r="G59" s="5" t="s">
        <v>56</v>
      </c>
      <c r="H59" s="5" t="s">
        <v>57</v>
      </c>
      <c r="I59" s="79">
        <f>(17577/1000000)*1000</f>
        <v>17.576999999999998</v>
      </c>
      <c r="J59" s="5" t="s">
        <v>184</v>
      </c>
      <c r="K59" s="5" t="s">
        <v>468</v>
      </c>
      <c r="L59" s="5" t="s">
        <v>355</v>
      </c>
      <c r="M59" s="5"/>
      <c r="N59" s="5" t="s">
        <v>187</v>
      </c>
      <c r="O59" s="81" t="s">
        <v>469</v>
      </c>
      <c r="Q59" s="77" t="s">
        <v>470</v>
      </c>
    </row>
    <row r="60" spans="1:17" ht="33.65" customHeight="1" x14ac:dyDescent="0.25">
      <c r="A60" s="130">
        <f t="shared" si="0"/>
        <v>56</v>
      </c>
      <c r="B60" s="5" t="s">
        <v>471</v>
      </c>
      <c r="C60" s="5" t="s">
        <v>466</v>
      </c>
      <c r="D60" s="77" t="str">
        <f>VLOOKUP(JCM[[#This Row],[Host country]],Country_Mapping[],COLUMN(Country_Mapping[[#Headers],[Region]]),0)</f>
        <v>Asia</v>
      </c>
      <c r="E60" s="77" t="str">
        <f>VLOOKUP(JCM[[#This Row],[Host country]],Country_Mapping[],COLUMN(Country_Mapping[[#Headers],[Sub-region]]),0)</f>
        <v>Eastern Asia</v>
      </c>
      <c r="F60" s="5" t="s">
        <v>472</v>
      </c>
      <c r="G60" s="5" t="s">
        <v>182</v>
      </c>
      <c r="H60" s="5" t="s">
        <v>183</v>
      </c>
      <c r="I60" s="79">
        <f>(467/1000000)*1000</f>
        <v>0.46700000000000003</v>
      </c>
      <c r="J60" s="5" t="s">
        <v>184</v>
      </c>
      <c r="K60" s="5" t="s">
        <v>473</v>
      </c>
      <c r="L60" s="5" t="s">
        <v>285</v>
      </c>
      <c r="M60" s="5"/>
      <c r="N60" s="5" t="s">
        <v>187</v>
      </c>
      <c r="O60" s="81" t="s">
        <v>474</v>
      </c>
      <c r="Q60" s="77" t="s">
        <v>475</v>
      </c>
    </row>
    <row r="61" spans="1:17" ht="33.65" customHeight="1" x14ac:dyDescent="0.25">
      <c r="A61" s="130">
        <f t="shared" si="0"/>
        <v>57</v>
      </c>
      <c r="B61" s="5" t="s">
        <v>476</v>
      </c>
      <c r="C61" s="5" t="s">
        <v>466</v>
      </c>
      <c r="D61" s="77" t="str">
        <f>VLOOKUP(JCM[[#This Row],[Host country]],Country_Mapping[],COLUMN(Country_Mapping[[#Headers],[Region]]),0)</f>
        <v>Asia</v>
      </c>
      <c r="E61" s="77" t="str">
        <f>VLOOKUP(JCM[[#This Row],[Host country]],Country_Mapping[],COLUMN(Country_Mapping[[#Headers],[Sub-region]]),0)</f>
        <v>Eastern Asia</v>
      </c>
      <c r="F61" s="5" t="s">
        <v>477</v>
      </c>
      <c r="G61" s="5" t="s">
        <v>56</v>
      </c>
      <c r="H61" s="5" t="s">
        <v>57</v>
      </c>
      <c r="I61" s="79">
        <f>(11221/1000000)*1000</f>
        <v>11.221</v>
      </c>
      <c r="J61" s="5" t="s">
        <v>184</v>
      </c>
      <c r="K61" s="5" t="s">
        <v>478</v>
      </c>
      <c r="L61" s="5" t="s">
        <v>479</v>
      </c>
      <c r="M61" s="5"/>
      <c r="N61" s="5" t="s">
        <v>187</v>
      </c>
      <c r="O61" s="81" t="s">
        <v>480</v>
      </c>
      <c r="Q61" s="77" t="s">
        <v>481</v>
      </c>
    </row>
    <row r="62" spans="1:17" ht="33.65" customHeight="1" x14ac:dyDescent="0.25">
      <c r="A62" s="130">
        <f t="shared" si="0"/>
        <v>58</v>
      </c>
      <c r="B62" s="5" t="s">
        <v>482</v>
      </c>
      <c r="C62" s="5" t="s">
        <v>466</v>
      </c>
      <c r="D62" s="77" t="str">
        <f>VLOOKUP(JCM[[#This Row],[Host country]],Country_Mapping[],COLUMN(Country_Mapping[[#Headers],[Region]]),0)</f>
        <v>Asia</v>
      </c>
      <c r="E62" s="77" t="str">
        <f>VLOOKUP(JCM[[#This Row],[Host country]],Country_Mapping[],COLUMN(Country_Mapping[[#Headers],[Sub-region]]),0)</f>
        <v>Eastern Asia</v>
      </c>
      <c r="F62" s="5" t="s">
        <v>483</v>
      </c>
      <c r="G62" s="5" t="s">
        <v>56</v>
      </c>
      <c r="H62" s="5" t="s">
        <v>57</v>
      </c>
      <c r="I62" s="79">
        <f>(11223/1000000)*1000</f>
        <v>11.223000000000001</v>
      </c>
      <c r="J62" s="5" t="s">
        <v>184</v>
      </c>
      <c r="K62" s="5" t="s">
        <v>484</v>
      </c>
      <c r="L62" s="5" t="s">
        <v>484</v>
      </c>
      <c r="M62" s="5"/>
      <c r="N62" s="5" t="s">
        <v>187</v>
      </c>
      <c r="O62" s="81" t="s">
        <v>485</v>
      </c>
      <c r="Q62" s="77" t="s">
        <v>481</v>
      </c>
    </row>
    <row r="63" spans="1:17" ht="33.65" customHeight="1" x14ac:dyDescent="0.25">
      <c r="A63" s="130">
        <f t="shared" si="0"/>
        <v>59</v>
      </c>
      <c r="B63" s="5" t="s">
        <v>486</v>
      </c>
      <c r="C63" s="5" t="s">
        <v>466</v>
      </c>
      <c r="D63" s="77" t="str">
        <f>VLOOKUP(JCM[[#This Row],[Host country]],Country_Mapping[],COLUMN(Country_Mapping[[#Headers],[Region]]),0)</f>
        <v>Asia</v>
      </c>
      <c r="E63" s="77" t="str">
        <f>VLOOKUP(JCM[[#This Row],[Host country]],Country_Mapping[],COLUMN(Country_Mapping[[#Headers],[Sub-region]]),0)</f>
        <v>Eastern Asia</v>
      </c>
      <c r="F63" s="5" t="s">
        <v>487</v>
      </c>
      <c r="G63" s="5" t="s">
        <v>338</v>
      </c>
      <c r="H63" s="5"/>
      <c r="I63" s="79">
        <f>(206/1000000)*1000</f>
        <v>0.20599999999999999</v>
      </c>
      <c r="J63" s="5" t="s">
        <v>184</v>
      </c>
      <c r="K63" s="5" t="s">
        <v>488</v>
      </c>
      <c r="L63" s="5" t="s">
        <v>489</v>
      </c>
      <c r="M63" s="5"/>
      <c r="N63" s="5" t="s">
        <v>187</v>
      </c>
      <c r="O63" s="81" t="s">
        <v>490</v>
      </c>
      <c r="Q63" s="77" t="s">
        <v>491</v>
      </c>
    </row>
    <row r="64" spans="1:17" ht="33.65" customHeight="1" x14ac:dyDescent="0.25">
      <c r="A64" s="130">
        <f t="shared" si="0"/>
        <v>60</v>
      </c>
      <c r="B64" s="5" t="s">
        <v>492</v>
      </c>
      <c r="C64" s="5" t="s">
        <v>466</v>
      </c>
      <c r="D64" s="77" t="str">
        <f>VLOOKUP(JCM[[#This Row],[Host country]],Country_Mapping[],COLUMN(Country_Mapping[[#Headers],[Region]]),0)</f>
        <v>Asia</v>
      </c>
      <c r="E64" s="77" t="str">
        <f>VLOOKUP(JCM[[#This Row],[Host country]],Country_Mapping[],COLUMN(Country_Mapping[[#Headers],[Sub-region]]),0)</f>
        <v>Eastern Asia</v>
      </c>
      <c r="F64" s="5" t="s">
        <v>493</v>
      </c>
      <c r="G64" s="5" t="s">
        <v>338</v>
      </c>
      <c r="H64" s="5"/>
      <c r="I64" s="79">
        <f>(92/1000000)*1000</f>
        <v>9.1999999999999998E-2</v>
      </c>
      <c r="J64" s="5" t="s">
        <v>184</v>
      </c>
      <c r="K64" s="5" t="s">
        <v>488</v>
      </c>
      <c r="L64" s="5" t="s">
        <v>489</v>
      </c>
      <c r="M64" s="5"/>
      <c r="N64" s="5" t="s">
        <v>187</v>
      </c>
      <c r="O64" s="81" t="s">
        <v>494</v>
      </c>
      <c r="Q64" s="77" t="s">
        <v>491</v>
      </c>
    </row>
    <row r="65" spans="1:17" ht="33.65" customHeight="1" x14ac:dyDescent="0.25">
      <c r="A65" s="130">
        <f t="shared" si="0"/>
        <v>61</v>
      </c>
      <c r="B65" s="5" t="s">
        <v>495</v>
      </c>
      <c r="C65" s="5" t="s">
        <v>496</v>
      </c>
      <c r="D65" s="77" t="str">
        <f>VLOOKUP(JCM[[#This Row],[Host country]],Country_Mapping[],COLUMN(Country_Mapping[[#Headers],[Region]]),0)</f>
        <v>Asia</v>
      </c>
      <c r="E65" s="77" t="str">
        <f>VLOOKUP(JCM[[#This Row],[Host country]],Country_Mapping[],COLUMN(Country_Mapping[[#Headers],[Sub-region]]),0)</f>
        <v>Southeast Asia</v>
      </c>
      <c r="F65" s="5" t="s">
        <v>497</v>
      </c>
      <c r="G65" s="5" t="s">
        <v>44</v>
      </c>
      <c r="H65" s="5" t="s">
        <v>498</v>
      </c>
      <c r="I65" s="79">
        <f>(4067/1000000)*1000</f>
        <v>4.0670000000000002</v>
      </c>
      <c r="J65" s="5" t="s">
        <v>184</v>
      </c>
      <c r="K65" s="5" t="s">
        <v>499</v>
      </c>
      <c r="L65" s="5" t="s">
        <v>500</v>
      </c>
      <c r="M65" s="5"/>
      <c r="N65" s="5" t="s">
        <v>187</v>
      </c>
      <c r="O65" s="81" t="s">
        <v>501</v>
      </c>
      <c r="Q65" s="77" t="s">
        <v>189</v>
      </c>
    </row>
    <row r="66" spans="1:17" ht="33.65" customHeight="1" x14ac:dyDescent="0.25">
      <c r="A66" s="130">
        <f t="shared" si="0"/>
        <v>62</v>
      </c>
      <c r="B66" s="5" t="s">
        <v>502</v>
      </c>
      <c r="C66" s="5" t="s">
        <v>496</v>
      </c>
      <c r="D66" s="77" t="str">
        <f>VLOOKUP(JCM[[#This Row],[Host country]],Country_Mapping[],COLUMN(Country_Mapping[[#Headers],[Region]]),0)</f>
        <v>Asia</v>
      </c>
      <c r="E66" s="77" t="str">
        <f>VLOOKUP(JCM[[#This Row],[Host country]],Country_Mapping[],COLUMN(Country_Mapping[[#Headers],[Sub-region]]),0)</f>
        <v>Southeast Asia</v>
      </c>
      <c r="F66" s="5" t="s">
        <v>503</v>
      </c>
      <c r="G66" s="5" t="s">
        <v>251</v>
      </c>
      <c r="H66" s="5"/>
      <c r="I66" s="79">
        <f>(108/1000000)*1000</f>
        <v>0.108</v>
      </c>
      <c r="J66" s="5" t="s">
        <v>184</v>
      </c>
      <c r="K66" s="5"/>
      <c r="L66" s="5" t="s">
        <v>504</v>
      </c>
      <c r="M66" s="5"/>
      <c r="N66" s="5" t="s">
        <v>187</v>
      </c>
      <c r="O66" s="81" t="s">
        <v>505</v>
      </c>
      <c r="Q66" s="77" t="s">
        <v>506</v>
      </c>
    </row>
    <row r="67" spans="1:17" ht="33.65" customHeight="1" x14ac:dyDescent="0.25">
      <c r="A67" s="130">
        <f t="shared" si="0"/>
        <v>63</v>
      </c>
      <c r="B67" s="5" t="s">
        <v>507</v>
      </c>
      <c r="C67" s="5" t="s">
        <v>959</v>
      </c>
      <c r="D67" s="77" t="str">
        <f>VLOOKUP(JCM[[#This Row],[Host country]],Country_Mapping[],COLUMN(Country_Mapping[[#Headers],[Region]]),0)</f>
        <v>Asia</v>
      </c>
      <c r="E67" s="77" t="str">
        <f>VLOOKUP(JCM[[#This Row],[Host country]],Country_Mapping[],COLUMN(Country_Mapping[[#Headers],[Sub-region]]),0)</f>
        <v>Southeast Asia</v>
      </c>
      <c r="F67" s="5" t="s">
        <v>508</v>
      </c>
      <c r="G67" s="5" t="s">
        <v>182</v>
      </c>
      <c r="H67" s="5" t="s">
        <v>183</v>
      </c>
      <c r="I67" s="79">
        <f>(2109/1000000)*1000</f>
        <v>2.109</v>
      </c>
      <c r="J67" s="5" t="s">
        <v>184</v>
      </c>
      <c r="K67" s="5" t="s">
        <v>509</v>
      </c>
      <c r="L67" s="5" t="s">
        <v>186</v>
      </c>
      <c r="M67" s="5"/>
      <c r="N67" s="5" t="s">
        <v>187</v>
      </c>
      <c r="O67" s="81" t="s">
        <v>510</v>
      </c>
      <c r="Q67" s="77" t="s">
        <v>511</v>
      </c>
    </row>
    <row r="68" spans="1:17" ht="33.65" customHeight="1" x14ac:dyDescent="0.25">
      <c r="A68" s="130">
        <f t="shared" si="0"/>
        <v>64</v>
      </c>
      <c r="B68" s="5" t="s">
        <v>512</v>
      </c>
      <c r="C68" s="5" t="s">
        <v>959</v>
      </c>
      <c r="D68" s="77" t="str">
        <f>VLOOKUP(JCM[[#This Row],[Host country]],Country_Mapping[],COLUMN(Country_Mapping[[#Headers],[Region]]),0)</f>
        <v>Asia</v>
      </c>
      <c r="E68" s="77" t="str">
        <f>VLOOKUP(JCM[[#This Row],[Host country]],Country_Mapping[],COLUMN(Country_Mapping[[#Headers],[Sub-region]]),0)</f>
        <v>Southeast Asia</v>
      </c>
      <c r="F68" s="5" t="s">
        <v>513</v>
      </c>
      <c r="G68" s="5" t="s">
        <v>56</v>
      </c>
      <c r="H68" s="5" t="s">
        <v>57</v>
      </c>
      <c r="I68" s="79">
        <f>(4795/1000000)*1000</f>
        <v>4.7949999999999999</v>
      </c>
      <c r="J68" s="5" t="s">
        <v>184</v>
      </c>
      <c r="K68" s="5" t="s">
        <v>514</v>
      </c>
      <c r="L68" s="5" t="s">
        <v>515</v>
      </c>
      <c r="M68" s="5"/>
      <c r="N68" s="5" t="s">
        <v>187</v>
      </c>
      <c r="O68" s="81" t="s">
        <v>516</v>
      </c>
      <c r="Q68" s="77" t="s">
        <v>517</v>
      </c>
    </row>
    <row r="69" spans="1:17" ht="33.65" customHeight="1" x14ac:dyDescent="0.25">
      <c r="A69" s="130">
        <f t="shared" si="0"/>
        <v>65</v>
      </c>
      <c r="B69" s="5" t="s">
        <v>518</v>
      </c>
      <c r="C69" s="5" t="s">
        <v>959</v>
      </c>
      <c r="D69" s="77" t="str">
        <f>VLOOKUP(JCM[[#This Row],[Host country]],Country_Mapping[],COLUMN(Country_Mapping[[#Headers],[Region]]),0)</f>
        <v>Asia</v>
      </c>
      <c r="E69" s="77" t="str">
        <f>VLOOKUP(JCM[[#This Row],[Host country]],Country_Mapping[],COLUMN(Country_Mapping[[#Headers],[Sub-region]]),0)</f>
        <v>Southeast Asia</v>
      </c>
      <c r="F69" s="5" t="s">
        <v>519</v>
      </c>
      <c r="G69" s="5" t="s">
        <v>56</v>
      </c>
      <c r="H69" s="5" t="s">
        <v>57</v>
      </c>
      <c r="I69" s="79">
        <f>(6838/1000000)*1000</f>
        <v>6.8380000000000001</v>
      </c>
      <c r="J69" s="5" t="s">
        <v>184</v>
      </c>
      <c r="K69" s="5" t="s">
        <v>520</v>
      </c>
      <c r="L69" s="5" t="s">
        <v>334</v>
      </c>
      <c r="M69" s="5"/>
      <c r="N69" s="5" t="s">
        <v>187</v>
      </c>
      <c r="O69" s="81" t="s">
        <v>521</v>
      </c>
      <c r="Q69" s="77" t="s">
        <v>522</v>
      </c>
    </row>
    <row r="70" spans="1:17" ht="33.65" customHeight="1" x14ac:dyDescent="0.25">
      <c r="A70" s="130">
        <f t="shared" si="0"/>
        <v>66</v>
      </c>
      <c r="B70" s="5" t="s">
        <v>523</v>
      </c>
      <c r="C70" s="5" t="s">
        <v>959</v>
      </c>
      <c r="D70" s="77" t="str">
        <f>VLOOKUP(JCM[[#This Row],[Host country]],Country_Mapping[],COLUMN(Country_Mapping[[#Headers],[Region]]),0)</f>
        <v>Asia</v>
      </c>
      <c r="E70" s="77" t="str">
        <f>VLOOKUP(JCM[[#This Row],[Host country]],Country_Mapping[],COLUMN(Country_Mapping[[#Headers],[Sub-region]]),0)</f>
        <v>Southeast Asia</v>
      </c>
      <c r="F70" s="5" t="s">
        <v>524</v>
      </c>
      <c r="G70" s="5" t="s">
        <v>251</v>
      </c>
      <c r="H70" s="5" t="s">
        <v>525</v>
      </c>
      <c r="I70" s="79">
        <f>(567/1000000)*1000</f>
        <v>0.56700000000000006</v>
      </c>
      <c r="J70" s="5" t="s">
        <v>526</v>
      </c>
      <c r="K70" s="5" t="s">
        <v>527</v>
      </c>
      <c r="L70" s="5" t="s">
        <v>528</v>
      </c>
      <c r="M70" s="5"/>
      <c r="N70" s="5" t="s">
        <v>187</v>
      </c>
      <c r="O70" s="81" t="s">
        <v>529</v>
      </c>
      <c r="Q70" s="77" t="s">
        <v>530</v>
      </c>
    </row>
    <row r="71" spans="1:17" ht="33.65" customHeight="1" x14ac:dyDescent="0.25">
      <c r="A71" s="130">
        <f t="shared" ref="A71:A117" si="1">A70+1</f>
        <v>67</v>
      </c>
      <c r="B71" s="5" t="s">
        <v>531</v>
      </c>
      <c r="C71" s="5" t="s">
        <v>532</v>
      </c>
      <c r="D71" s="77" t="str">
        <f>VLOOKUP(JCM[[#This Row],[Host country]],Country_Mapping[],COLUMN(Country_Mapping[[#Headers],[Region]]),0)</f>
        <v>Asia</v>
      </c>
      <c r="E71" s="77" t="str">
        <f>VLOOKUP(JCM[[#This Row],[Host country]],Country_Mapping[],COLUMN(Country_Mapping[[#Headers],[Sub-region]]),0)</f>
        <v>Southeast Asia</v>
      </c>
      <c r="F71" s="5" t="s">
        <v>533</v>
      </c>
      <c r="G71" s="5" t="s">
        <v>534</v>
      </c>
      <c r="H71" s="5" t="s">
        <v>534</v>
      </c>
      <c r="I71" s="79">
        <f>(345770/1000000)*1000</f>
        <v>345.77000000000004</v>
      </c>
      <c r="J71" s="5" t="s">
        <v>535</v>
      </c>
      <c r="K71" s="5" t="s">
        <v>536</v>
      </c>
      <c r="L71" s="5" t="s">
        <v>537</v>
      </c>
      <c r="M71" s="5"/>
      <c r="N71" s="5" t="s">
        <v>187</v>
      </c>
      <c r="O71" s="81" t="s">
        <v>538</v>
      </c>
      <c r="Q71" s="77" t="s">
        <v>539</v>
      </c>
    </row>
    <row r="72" spans="1:17" ht="33.65" customHeight="1" x14ac:dyDescent="0.25">
      <c r="A72" s="130">
        <f t="shared" si="1"/>
        <v>68</v>
      </c>
      <c r="B72" s="5" t="s">
        <v>540</v>
      </c>
      <c r="C72" s="5" t="s">
        <v>532</v>
      </c>
      <c r="D72" s="77" t="str">
        <f>VLOOKUP(JCM[[#This Row],[Host country]],Country_Mapping[],COLUMN(Country_Mapping[[#Headers],[Region]]),0)</f>
        <v>Asia</v>
      </c>
      <c r="E72" s="77" t="str">
        <f>VLOOKUP(JCM[[#This Row],[Host country]],Country_Mapping[],COLUMN(Country_Mapping[[#Headers],[Sub-region]]),0)</f>
        <v>Southeast Asia</v>
      </c>
      <c r="F72" s="5" t="s">
        <v>541</v>
      </c>
      <c r="G72" s="5" t="s">
        <v>251</v>
      </c>
      <c r="H72" s="5"/>
      <c r="I72" s="79">
        <f>(413/1000000)*1000</f>
        <v>0.41300000000000003</v>
      </c>
      <c r="J72" s="5" t="s">
        <v>542</v>
      </c>
      <c r="K72" s="5" t="s">
        <v>543</v>
      </c>
      <c r="L72" s="5" t="s">
        <v>544</v>
      </c>
      <c r="M72" s="5"/>
      <c r="N72" s="5" t="s">
        <v>187</v>
      </c>
      <c r="O72" s="82" t="s">
        <v>545</v>
      </c>
      <c r="Q72" s="77" t="s">
        <v>539</v>
      </c>
    </row>
    <row r="73" spans="1:17" ht="33.65" customHeight="1" x14ac:dyDescent="0.25">
      <c r="A73" s="130">
        <f t="shared" si="1"/>
        <v>69</v>
      </c>
      <c r="B73" s="5" t="s">
        <v>546</v>
      </c>
      <c r="C73" s="5" t="s">
        <v>532</v>
      </c>
      <c r="D73" s="77" t="str">
        <f>VLOOKUP(JCM[[#This Row],[Host country]],Country_Mapping[],COLUMN(Country_Mapping[[#Headers],[Region]]),0)</f>
        <v>Asia</v>
      </c>
      <c r="E73" s="77" t="str">
        <f>VLOOKUP(JCM[[#This Row],[Host country]],Country_Mapping[],COLUMN(Country_Mapping[[#Headers],[Sub-region]]),0)</f>
        <v>Southeast Asia</v>
      </c>
      <c r="F73" s="5" t="s">
        <v>547</v>
      </c>
      <c r="G73" s="5" t="s">
        <v>251</v>
      </c>
      <c r="H73" s="5" t="s">
        <v>548</v>
      </c>
      <c r="I73" s="79">
        <f>(508/1000000)*1000</f>
        <v>0.50800000000000001</v>
      </c>
      <c r="J73" s="5" t="s">
        <v>184</v>
      </c>
      <c r="K73" s="5" t="s">
        <v>549</v>
      </c>
      <c r="L73" s="5"/>
      <c r="M73" s="5"/>
      <c r="N73" s="5" t="s">
        <v>187</v>
      </c>
      <c r="O73" s="81" t="s">
        <v>550</v>
      </c>
      <c r="Q73" s="77" t="s">
        <v>551</v>
      </c>
    </row>
    <row r="74" spans="1:17" ht="33.65" customHeight="1" x14ac:dyDescent="0.25">
      <c r="A74" s="130">
        <f t="shared" si="1"/>
        <v>70</v>
      </c>
      <c r="B74" s="5" t="s">
        <v>552</v>
      </c>
      <c r="C74" s="5" t="s">
        <v>532</v>
      </c>
      <c r="D74" s="77" t="str">
        <f>VLOOKUP(JCM[[#This Row],[Host country]],Country_Mapping[],COLUMN(Country_Mapping[[#Headers],[Region]]),0)</f>
        <v>Asia</v>
      </c>
      <c r="E74" s="77" t="str">
        <f>VLOOKUP(JCM[[#This Row],[Host country]],Country_Mapping[],COLUMN(Country_Mapping[[#Headers],[Sub-region]]),0)</f>
        <v>Southeast Asia</v>
      </c>
      <c r="F74" s="5" t="s">
        <v>553</v>
      </c>
      <c r="G74" s="5" t="s">
        <v>56</v>
      </c>
      <c r="H74" s="5" t="s">
        <v>57</v>
      </c>
      <c r="I74" s="79">
        <f>(99/1000000)*1000</f>
        <v>9.8999999999999991E-2</v>
      </c>
      <c r="J74" s="5" t="s">
        <v>554</v>
      </c>
      <c r="K74" s="5" t="s">
        <v>555</v>
      </c>
      <c r="L74" s="5" t="s">
        <v>556</v>
      </c>
      <c r="M74" s="5"/>
      <c r="N74" s="5" t="s">
        <v>187</v>
      </c>
      <c r="O74" s="81" t="s">
        <v>557</v>
      </c>
      <c r="Q74" s="77" t="s">
        <v>558</v>
      </c>
    </row>
    <row r="75" spans="1:17" ht="33.65" customHeight="1" x14ac:dyDescent="0.25">
      <c r="A75" s="130">
        <f t="shared" si="1"/>
        <v>71</v>
      </c>
      <c r="B75" s="5" t="s">
        <v>559</v>
      </c>
      <c r="C75" s="5" t="s">
        <v>532</v>
      </c>
      <c r="D75" s="77" t="str">
        <f>VLOOKUP(JCM[[#This Row],[Host country]],Country_Mapping[],COLUMN(Country_Mapping[[#Headers],[Region]]),0)</f>
        <v>Asia</v>
      </c>
      <c r="E75" s="77" t="str">
        <f>VLOOKUP(JCM[[#This Row],[Host country]],Country_Mapping[],COLUMN(Country_Mapping[[#Headers],[Sub-region]]),0)</f>
        <v>Southeast Asia</v>
      </c>
      <c r="F75" s="5" t="s">
        <v>541</v>
      </c>
      <c r="G75" s="5" t="s">
        <v>56</v>
      </c>
      <c r="H75" s="5" t="s">
        <v>57</v>
      </c>
      <c r="I75" s="79">
        <f>(639/1000000)*1000</f>
        <v>0.63900000000000001</v>
      </c>
      <c r="J75" s="5" t="s">
        <v>560</v>
      </c>
      <c r="K75" s="5" t="s">
        <v>561</v>
      </c>
      <c r="L75" s="5" t="s">
        <v>562</v>
      </c>
      <c r="M75" s="5"/>
      <c r="N75" s="5" t="s">
        <v>187</v>
      </c>
      <c r="O75" s="82" t="s">
        <v>563</v>
      </c>
      <c r="Q75" s="77" t="s">
        <v>189</v>
      </c>
    </row>
    <row r="76" spans="1:17" ht="33.65" customHeight="1" x14ac:dyDescent="0.25">
      <c r="A76" s="130">
        <f t="shared" si="1"/>
        <v>72</v>
      </c>
      <c r="B76" s="5" t="s">
        <v>564</v>
      </c>
      <c r="C76" s="5" t="s">
        <v>565</v>
      </c>
      <c r="D76" s="77" t="str">
        <f>VLOOKUP(JCM[[#This Row],[Host country]],Country_Mapping[],COLUMN(Country_Mapping[[#Headers],[Region]]),0)</f>
        <v>Africa</v>
      </c>
      <c r="E76" s="77" t="str">
        <f>VLOOKUP(JCM[[#This Row],[Host country]],Country_Mapping[],COLUMN(Country_Mapping[[#Headers],[Sub-region]]),0)</f>
        <v>Eastern Africa</v>
      </c>
      <c r="F76" s="5" t="s">
        <v>566</v>
      </c>
      <c r="G76" s="5" t="s">
        <v>56</v>
      </c>
      <c r="H76" s="5" t="s">
        <v>57</v>
      </c>
      <c r="I76" s="79">
        <f>(630/1000000)*1000</f>
        <v>0.63</v>
      </c>
      <c r="J76" s="5" t="s">
        <v>567</v>
      </c>
      <c r="K76" s="5" t="s">
        <v>568</v>
      </c>
      <c r="L76" s="5" t="s">
        <v>457</v>
      </c>
      <c r="M76" s="5"/>
      <c r="N76" s="5" t="s">
        <v>187</v>
      </c>
      <c r="O76" s="81" t="s">
        <v>569</v>
      </c>
      <c r="Q76" s="77" t="s">
        <v>570</v>
      </c>
    </row>
    <row r="77" spans="1:17" ht="33.65" customHeight="1" x14ac:dyDescent="0.25">
      <c r="A77" s="130">
        <f t="shared" si="1"/>
        <v>73</v>
      </c>
      <c r="B77" s="5" t="s">
        <v>571</v>
      </c>
      <c r="C77" s="5" t="s">
        <v>565</v>
      </c>
      <c r="D77" s="77" t="str">
        <f>VLOOKUP(JCM[[#This Row],[Host country]],Country_Mapping[],COLUMN(Country_Mapping[[#Headers],[Region]]),0)</f>
        <v>Africa</v>
      </c>
      <c r="E77" s="77" t="str">
        <f>VLOOKUP(JCM[[#This Row],[Host country]],Country_Mapping[],COLUMN(Country_Mapping[[#Headers],[Sub-region]]),0)</f>
        <v>Eastern Africa</v>
      </c>
      <c r="F77" s="5" t="s">
        <v>572</v>
      </c>
      <c r="G77" s="5" t="s">
        <v>573</v>
      </c>
      <c r="H77" s="5"/>
      <c r="I77" s="79">
        <f>(75/1000000)*1000</f>
        <v>7.4999999999999997E-2</v>
      </c>
      <c r="J77" s="5" t="s">
        <v>574</v>
      </c>
      <c r="K77" s="5" t="s">
        <v>575</v>
      </c>
      <c r="L77" s="5" t="s">
        <v>576</v>
      </c>
      <c r="M77" s="5"/>
      <c r="N77" s="5" t="s">
        <v>187</v>
      </c>
      <c r="O77" s="81" t="s">
        <v>577</v>
      </c>
      <c r="Q77" s="77" t="s">
        <v>570</v>
      </c>
    </row>
    <row r="78" spans="1:17" ht="33.65" customHeight="1" x14ac:dyDescent="0.25">
      <c r="A78" s="130">
        <f t="shared" si="1"/>
        <v>74</v>
      </c>
      <c r="B78" s="5" t="s">
        <v>578</v>
      </c>
      <c r="C78" s="5" t="s">
        <v>579</v>
      </c>
      <c r="D78" s="77" t="str">
        <f>VLOOKUP(JCM[[#This Row],[Host country]],Country_Mapping[],COLUMN(Country_Mapping[[#Headers],[Region]]),0)</f>
        <v>Asia</v>
      </c>
      <c r="E78" s="77" t="str">
        <f>VLOOKUP(JCM[[#This Row],[Host country]],Country_Mapping[],COLUMN(Country_Mapping[[#Headers],[Sub-region]]),0)</f>
        <v>Southeast Asia</v>
      </c>
      <c r="F78" s="5" t="s">
        <v>580</v>
      </c>
      <c r="G78" s="5" t="s">
        <v>22</v>
      </c>
      <c r="H78" s="5"/>
      <c r="I78" s="79">
        <f>(1332/1000000)*1000</f>
        <v>1.3320000000000001</v>
      </c>
      <c r="J78" s="5"/>
      <c r="K78" s="5" t="s">
        <v>581</v>
      </c>
      <c r="L78" s="5" t="s">
        <v>582</v>
      </c>
      <c r="M78" s="5"/>
      <c r="N78" s="5" t="s">
        <v>187</v>
      </c>
      <c r="O78" s="81" t="s">
        <v>583</v>
      </c>
      <c r="Q78" s="77" t="s">
        <v>189</v>
      </c>
    </row>
    <row r="79" spans="1:17" ht="33.65" customHeight="1" x14ac:dyDescent="0.25">
      <c r="A79" s="130">
        <f t="shared" si="1"/>
        <v>75</v>
      </c>
      <c r="B79" s="5" t="s">
        <v>584</v>
      </c>
      <c r="C79" s="5" t="s">
        <v>579</v>
      </c>
      <c r="D79" s="77" t="str">
        <f>VLOOKUP(JCM[[#This Row],[Host country]],Country_Mapping[],COLUMN(Country_Mapping[[#Headers],[Region]]),0)</f>
        <v>Asia</v>
      </c>
      <c r="E79" s="77" t="str">
        <f>VLOOKUP(JCM[[#This Row],[Host country]],Country_Mapping[],COLUMN(Country_Mapping[[#Headers],[Sub-region]]),0)</f>
        <v>Southeast Asia</v>
      </c>
      <c r="F79" s="5" t="s">
        <v>585</v>
      </c>
      <c r="G79" s="5" t="s">
        <v>251</v>
      </c>
      <c r="H79" s="5"/>
      <c r="I79" s="79">
        <f>(303/1000000)*1000</f>
        <v>0.30299999999999999</v>
      </c>
      <c r="J79" s="5" t="s">
        <v>554</v>
      </c>
      <c r="K79" s="5" t="s">
        <v>586</v>
      </c>
      <c r="L79" s="5" t="s">
        <v>587</v>
      </c>
      <c r="M79" s="5"/>
      <c r="N79" s="5" t="s">
        <v>187</v>
      </c>
      <c r="O79" s="81" t="s">
        <v>588</v>
      </c>
      <c r="Q79" s="77" t="s">
        <v>189</v>
      </c>
    </row>
    <row r="80" spans="1:17" ht="33.65" customHeight="1" x14ac:dyDescent="0.25">
      <c r="A80" s="130">
        <f t="shared" si="1"/>
        <v>76</v>
      </c>
      <c r="B80" s="5" t="s">
        <v>589</v>
      </c>
      <c r="C80" s="5" t="s">
        <v>579</v>
      </c>
      <c r="D80" s="77" t="str">
        <f>VLOOKUP(JCM[[#This Row],[Host country]],Country_Mapping[],COLUMN(Country_Mapping[[#Headers],[Region]]),0)</f>
        <v>Asia</v>
      </c>
      <c r="E80" s="77" t="str">
        <f>VLOOKUP(JCM[[#This Row],[Host country]],Country_Mapping[],COLUMN(Country_Mapping[[#Headers],[Sub-region]]),0)</f>
        <v>Southeast Asia</v>
      </c>
      <c r="F80" s="5" t="s">
        <v>590</v>
      </c>
      <c r="G80" s="5" t="s">
        <v>197</v>
      </c>
      <c r="H80" s="5"/>
      <c r="I80" s="79">
        <f>(2642/1000000)*1000</f>
        <v>2.6419999999999999</v>
      </c>
      <c r="J80" s="5" t="s">
        <v>591</v>
      </c>
      <c r="K80" s="5" t="s">
        <v>592</v>
      </c>
      <c r="L80" s="5" t="s">
        <v>442</v>
      </c>
      <c r="M80" s="5"/>
      <c r="N80" s="5" t="s">
        <v>187</v>
      </c>
      <c r="O80" s="81" t="s">
        <v>593</v>
      </c>
      <c r="Q80" s="77" t="s">
        <v>189</v>
      </c>
    </row>
    <row r="81" spans="1:17" ht="33.65" customHeight="1" x14ac:dyDescent="0.25">
      <c r="A81" s="130">
        <f t="shared" si="1"/>
        <v>77</v>
      </c>
      <c r="B81" s="5" t="s">
        <v>594</v>
      </c>
      <c r="C81" s="5" t="s">
        <v>579</v>
      </c>
      <c r="D81" s="77" t="str">
        <f>VLOOKUP(JCM[[#This Row],[Host country]],Country_Mapping[],COLUMN(Country_Mapping[[#Headers],[Region]]),0)</f>
        <v>Asia</v>
      </c>
      <c r="E81" s="77" t="str">
        <f>VLOOKUP(JCM[[#This Row],[Host country]],Country_Mapping[],COLUMN(Country_Mapping[[#Headers],[Sub-region]]),0)</f>
        <v>Southeast Asia</v>
      </c>
      <c r="F81" s="5" t="s">
        <v>595</v>
      </c>
      <c r="G81" s="5" t="s">
        <v>197</v>
      </c>
      <c r="H81" s="5"/>
      <c r="I81" s="79">
        <f>(202/1000000)*1000</f>
        <v>0.20200000000000001</v>
      </c>
      <c r="J81" s="5" t="s">
        <v>596</v>
      </c>
      <c r="K81" s="5" t="s">
        <v>597</v>
      </c>
      <c r="L81" s="5" t="s">
        <v>598</v>
      </c>
      <c r="M81" s="5"/>
      <c r="N81" s="5" t="s">
        <v>187</v>
      </c>
      <c r="O81" s="81" t="s">
        <v>599</v>
      </c>
      <c r="Q81" s="77" t="s">
        <v>189</v>
      </c>
    </row>
    <row r="82" spans="1:17" ht="33.65" customHeight="1" x14ac:dyDescent="0.25">
      <c r="A82" s="130">
        <f t="shared" si="1"/>
        <v>78</v>
      </c>
      <c r="B82" s="5" t="s">
        <v>600</v>
      </c>
      <c r="C82" s="5" t="s">
        <v>579</v>
      </c>
      <c r="D82" s="77" t="str">
        <f>VLOOKUP(JCM[[#This Row],[Host country]],Country_Mapping[],COLUMN(Country_Mapping[[#Headers],[Region]]),0)</f>
        <v>Asia</v>
      </c>
      <c r="E82" s="77" t="str">
        <f>VLOOKUP(JCM[[#This Row],[Host country]],Country_Mapping[],COLUMN(Country_Mapping[[#Headers],[Sub-region]]),0)</f>
        <v>Southeast Asia</v>
      </c>
      <c r="F82" s="5" t="s">
        <v>601</v>
      </c>
      <c r="G82" s="5" t="s">
        <v>197</v>
      </c>
      <c r="H82" s="5"/>
      <c r="I82" s="79">
        <f>(3644/1000000)*1000</f>
        <v>3.6440000000000001</v>
      </c>
      <c r="J82" s="5" t="s">
        <v>596</v>
      </c>
      <c r="K82" s="5" t="s">
        <v>602</v>
      </c>
      <c r="L82" s="5" t="s">
        <v>603</v>
      </c>
      <c r="M82" s="5"/>
      <c r="N82" s="5" t="s">
        <v>187</v>
      </c>
      <c r="O82" s="81" t="s">
        <v>604</v>
      </c>
      <c r="Q82" s="77" t="s">
        <v>189</v>
      </c>
    </row>
    <row r="83" spans="1:17" ht="33.65" customHeight="1" x14ac:dyDescent="0.25">
      <c r="A83" s="130">
        <f t="shared" si="1"/>
        <v>79</v>
      </c>
      <c r="B83" s="5" t="s">
        <v>605</v>
      </c>
      <c r="C83" s="5" t="s">
        <v>579</v>
      </c>
      <c r="D83" s="77" t="str">
        <f>VLOOKUP(JCM[[#This Row],[Host country]],Country_Mapping[],COLUMN(Country_Mapping[[#Headers],[Region]]),0)</f>
        <v>Asia</v>
      </c>
      <c r="E83" s="77" t="str">
        <f>VLOOKUP(JCM[[#This Row],[Host country]],Country_Mapping[],COLUMN(Country_Mapping[[#Headers],[Sub-region]]),0)</f>
        <v>Southeast Asia</v>
      </c>
      <c r="F83" s="5" t="s">
        <v>606</v>
      </c>
      <c r="G83" s="5" t="s">
        <v>573</v>
      </c>
      <c r="H83" s="5"/>
      <c r="I83" s="79">
        <f>(30862/1000000)*1000</f>
        <v>30.862000000000002</v>
      </c>
      <c r="J83" s="5" t="s">
        <v>607</v>
      </c>
      <c r="K83" s="5" t="s">
        <v>608</v>
      </c>
      <c r="L83" s="5" t="s">
        <v>609</v>
      </c>
      <c r="M83" s="5"/>
      <c r="N83" s="5" t="s">
        <v>187</v>
      </c>
      <c r="O83" s="81" t="s">
        <v>610</v>
      </c>
      <c r="Q83" s="77" t="s">
        <v>611</v>
      </c>
    </row>
    <row r="84" spans="1:17" ht="33.65" customHeight="1" x14ac:dyDescent="0.25">
      <c r="A84" s="130">
        <f t="shared" si="1"/>
        <v>80</v>
      </c>
      <c r="B84" s="5" t="s">
        <v>612</v>
      </c>
      <c r="C84" s="5" t="s">
        <v>579</v>
      </c>
      <c r="D84" s="77" t="str">
        <f>VLOOKUP(JCM[[#This Row],[Host country]],Country_Mapping[],COLUMN(Country_Mapping[[#Headers],[Region]]),0)</f>
        <v>Asia</v>
      </c>
      <c r="E84" s="77" t="str">
        <f>VLOOKUP(JCM[[#This Row],[Host country]],Country_Mapping[],COLUMN(Country_Mapping[[#Headers],[Sub-region]]),0)</f>
        <v>Southeast Asia</v>
      </c>
      <c r="F84" s="5" t="s">
        <v>613</v>
      </c>
      <c r="G84" s="5" t="s">
        <v>251</v>
      </c>
      <c r="H84" s="5"/>
      <c r="I84" s="79">
        <f>(521/1000000)*1000</f>
        <v>0.52100000000000002</v>
      </c>
      <c r="J84" s="5" t="s">
        <v>614</v>
      </c>
      <c r="K84" s="5" t="s">
        <v>615</v>
      </c>
      <c r="L84" s="5" t="s">
        <v>616</v>
      </c>
      <c r="M84" s="5"/>
      <c r="N84" s="5" t="s">
        <v>187</v>
      </c>
      <c r="O84" s="81" t="s">
        <v>617</v>
      </c>
      <c r="Q84" s="77" t="s">
        <v>189</v>
      </c>
    </row>
    <row r="85" spans="1:17" ht="33.65" customHeight="1" x14ac:dyDescent="0.25">
      <c r="A85" s="130">
        <f t="shared" si="1"/>
        <v>81</v>
      </c>
      <c r="B85" s="5" t="s">
        <v>618</v>
      </c>
      <c r="C85" s="5" t="s">
        <v>579</v>
      </c>
      <c r="D85" s="77" t="str">
        <f>VLOOKUP(JCM[[#This Row],[Host country]],Country_Mapping[],COLUMN(Country_Mapping[[#Headers],[Region]]),0)</f>
        <v>Asia</v>
      </c>
      <c r="E85" s="77" t="str">
        <f>VLOOKUP(JCM[[#This Row],[Host country]],Country_Mapping[],COLUMN(Country_Mapping[[#Headers],[Sub-region]]),0)</f>
        <v>Southeast Asia</v>
      </c>
      <c r="F85" s="5" t="s">
        <v>619</v>
      </c>
      <c r="G85" s="5" t="s">
        <v>251</v>
      </c>
      <c r="H85" s="5"/>
      <c r="I85" s="79">
        <f>(24/1000000)*1000</f>
        <v>2.4E-2</v>
      </c>
      <c r="J85" s="5" t="s">
        <v>620</v>
      </c>
      <c r="K85" s="5" t="s">
        <v>621</v>
      </c>
      <c r="L85" s="5" t="s">
        <v>622</v>
      </c>
      <c r="M85" s="5"/>
      <c r="N85" s="5" t="s">
        <v>187</v>
      </c>
      <c r="O85" s="81" t="s">
        <v>623</v>
      </c>
      <c r="Q85" s="77" t="s">
        <v>189</v>
      </c>
    </row>
    <row r="86" spans="1:17" ht="33.65" customHeight="1" x14ac:dyDescent="0.25">
      <c r="A86" s="130">
        <f t="shared" si="1"/>
        <v>82</v>
      </c>
      <c r="B86" s="5" t="s">
        <v>624</v>
      </c>
      <c r="C86" s="5" t="s">
        <v>579</v>
      </c>
      <c r="D86" s="77" t="str">
        <f>VLOOKUP(JCM[[#This Row],[Host country]],Country_Mapping[],COLUMN(Country_Mapping[[#Headers],[Region]]),0)</f>
        <v>Asia</v>
      </c>
      <c r="E86" s="77" t="str">
        <f>VLOOKUP(JCM[[#This Row],[Host country]],Country_Mapping[],COLUMN(Country_Mapping[[#Headers],[Sub-region]]),0)</f>
        <v>Southeast Asia</v>
      </c>
      <c r="F86" s="5" t="s">
        <v>625</v>
      </c>
      <c r="G86" s="5" t="s">
        <v>197</v>
      </c>
      <c r="H86" s="5"/>
      <c r="I86" s="79">
        <f>(592/1000000)*1000</f>
        <v>0.59199999999999997</v>
      </c>
      <c r="J86" s="5" t="s">
        <v>626</v>
      </c>
      <c r="K86" s="5" t="s">
        <v>627</v>
      </c>
      <c r="L86" s="5" t="s">
        <v>628</v>
      </c>
      <c r="M86" s="5"/>
      <c r="N86" s="5" t="s">
        <v>187</v>
      </c>
      <c r="O86" s="82" t="s">
        <v>629</v>
      </c>
      <c r="Q86" s="77" t="s">
        <v>630</v>
      </c>
    </row>
    <row r="87" spans="1:17" ht="33.65" customHeight="1" x14ac:dyDescent="0.25">
      <c r="A87" s="130">
        <f t="shared" si="1"/>
        <v>83</v>
      </c>
      <c r="B87" s="5" t="s">
        <v>631</v>
      </c>
      <c r="C87" s="5" t="s">
        <v>579</v>
      </c>
      <c r="D87" s="77" t="str">
        <f>VLOOKUP(JCM[[#This Row],[Host country]],Country_Mapping[],COLUMN(Country_Mapping[[#Headers],[Region]]),0)</f>
        <v>Asia</v>
      </c>
      <c r="E87" s="77" t="str">
        <f>VLOOKUP(JCM[[#This Row],[Host country]],Country_Mapping[],COLUMN(Country_Mapping[[#Headers],[Sub-region]]),0)</f>
        <v>Southeast Asia</v>
      </c>
      <c r="F87" s="5" t="s">
        <v>632</v>
      </c>
      <c r="G87" s="5" t="s">
        <v>56</v>
      </c>
      <c r="H87" s="5" t="s">
        <v>57</v>
      </c>
      <c r="I87" s="79">
        <f>(260/1000000)*1000</f>
        <v>0.25999999999999995</v>
      </c>
      <c r="J87" s="5" t="s">
        <v>633</v>
      </c>
      <c r="K87" s="5" t="s">
        <v>634</v>
      </c>
      <c r="L87" s="5" t="s">
        <v>635</v>
      </c>
      <c r="M87" s="5"/>
      <c r="N87" s="5" t="s">
        <v>187</v>
      </c>
      <c r="O87" s="81" t="s">
        <v>636</v>
      </c>
      <c r="Q87" s="77" t="s">
        <v>637</v>
      </c>
    </row>
    <row r="88" spans="1:17" ht="33.65" customHeight="1" x14ac:dyDescent="0.25">
      <c r="A88" s="130">
        <f t="shared" si="1"/>
        <v>84</v>
      </c>
      <c r="B88" s="5" t="s">
        <v>638</v>
      </c>
      <c r="C88" s="5" t="s">
        <v>579</v>
      </c>
      <c r="D88" s="77" t="str">
        <f>VLOOKUP(JCM[[#This Row],[Host country]],Country_Mapping[],COLUMN(Country_Mapping[[#Headers],[Region]]),0)</f>
        <v>Asia</v>
      </c>
      <c r="E88" s="77" t="str">
        <f>VLOOKUP(JCM[[#This Row],[Host country]],Country_Mapping[],COLUMN(Country_Mapping[[#Headers],[Sub-region]]),0)</f>
        <v>Southeast Asia</v>
      </c>
      <c r="F88" s="5" t="s">
        <v>601</v>
      </c>
      <c r="G88" s="5" t="s">
        <v>251</v>
      </c>
      <c r="H88" s="5"/>
      <c r="I88" s="79">
        <f>(131/1000000)*1000</f>
        <v>0.13100000000000001</v>
      </c>
      <c r="J88" s="5" t="s">
        <v>639</v>
      </c>
      <c r="K88" s="5" t="s">
        <v>640</v>
      </c>
      <c r="L88" s="5" t="s">
        <v>641</v>
      </c>
      <c r="M88" s="5"/>
      <c r="N88" s="5" t="s">
        <v>187</v>
      </c>
      <c r="O88" s="82" t="s">
        <v>642</v>
      </c>
      <c r="Q88" s="77" t="s">
        <v>643</v>
      </c>
    </row>
    <row r="89" spans="1:17" ht="33.65" customHeight="1" x14ac:dyDescent="0.25">
      <c r="A89" s="130">
        <f t="shared" si="1"/>
        <v>85</v>
      </c>
      <c r="B89" s="5" t="s">
        <v>644</v>
      </c>
      <c r="C89" s="5" t="s">
        <v>579</v>
      </c>
      <c r="D89" s="77" t="str">
        <f>VLOOKUP(JCM[[#This Row],[Host country]],Country_Mapping[],COLUMN(Country_Mapping[[#Headers],[Region]]),0)</f>
        <v>Asia</v>
      </c>
      <c r="E89" s="77" t="str">
        <f>VLOOKUP(JCM[[#This Row],[Host country]],Country_Mapping[],COLUMN(Country_Mapping[[#Headers],[Sub-region]]),0)</f>
        <v>Southeast Asia</v>
      </c>
      <c r="F89" s="5" t="s">
        <v>645</v>
      </c>
      <c r="G89" s="5" t="s">
        <v>197</v>
      </c>
      <c r="H89" s="5"/>
      <c r="I89" s="79">
        <f>(738/1000000)*1000</f>
        <v>0.7380000000000001</v>
      </c>
      <c r="J89" s="5" t="s">
        <v>646</v>
      </c>
      <c r="K89" s="5" t="s">
        <v>647</v>
      </c>
      <c r="L89" s="5" t="s">
        <v>648</v>
      </c>
      <c r="M89" s="5"/>
      <c r="N89" s="5" t="s">
        <v>187</v>
      </c>
      <c r="O89" s="81" t="s">
        <v>649</v>
      </c>
      <c r="Q89" s="77" t="s">
        <v>650</v>
      </c>
    </row>
    <row r="90" spans="1:17" ht="33.65" customHeight="1" x14ac:dyDescent="0.25">
      <c r="A90" s="130">
        <f t="shared" si="1"/>
        <v>86</v>
      </c>
      <c r="B90" s="5" t="s">
        <v>651</v>
      </c>
      <c r="C90" s="5" t="s">
        <v>579</v>
      </c>
      <c r="D90" s="77" t="str">
        <f>VLOOKUP(JCM[[#This Row],[Host country]],Country_Mapping[],COLUMN(Country_Mapping[[#Headers],[Region]]),0)</f>
        <v>Asia</v>
      </c>
      <c r="E90" s="77" t="str">
        <f>VLOOKUP(JCM[[#This Row],[Host country]],Country_Mapping[],COLUMN(Country_Mapping[[#Headers],[Sub-region]]),0)</f>
        <v>Southeast Asia</v>
      </c>
      <c r="F90" s="5" t="s">
        <v>601</v>
      </c>
      <c r="G90" s="5" t="s">
        <v>197</v>
      </c>
      <c r="H90" s="5"/>
      <c r="I90" s="79">
        <f>(376/1000000)*1000</f>
        <v>0.376</v>
      </c>
      <c r="J90" s="5" t="s">
        <v>652</v>
      </c>
      <c r="K90" s="5" t="s">
        <v>653</v>
      </c>
      <c r="L90" s="5" t="s">
        <v>654</v>
      </c>
      <c r="M90" s="5"/>
      <c r="N90" s="5" t="s">
        <v>187</v>
      </c>
      <c r="O90" s="82" t="s">
        <v>655</v>
      </c>
      <c r="Q90" s="77" t="s">
        <v>643</v>
      </c>
    </row>
    <row r="91" spans="1:17" ht="33.65" customHeight="1" x14ac:dyDescent="0.25">
      <c r="A91" s="130">
        <f t="shared" si="1"/>
        <v>87</v>
      </c>
      <c r="B91" s="5" t="s">
        <v>656</v>
      </c>
      <c r="C91" s="5" t="s">
        <v>579</v>
      </c>
      <c r="D91" s="77" t="str">
        <f>VLOOKUP(JCM[[#This Row],[Host country]],Country_Mapping[],COLUMN(Country_Mapping[[#Headers],[Region]]),0)</f>
        <v>Asia</v>
      </c>
      <c r="E91" s="77" t="str">
        <f>VLOOKUP(JCM[[#This Row],[Host country]],Country_Mapping[],COLUMN(Country_Mapping[[#Headers],[Sub-region]]),0)</f>
        <v>Southeast Asia</v>
      </c>
      <c r="F91" s="5" t="s">
        <v>657</v>
      </c>
      <c r="G91" s="5" t="s">
        <v>197</v>
      </c>
      <c r="H91" s="5"/>
      <c r="I91" s="79">
        <f>(19613/1000000)*1000</f>
        <v>19.613</v>
      </c>
      <c r="J91" s="5" t="s">
        <v>658</v>
      </c>
      <c r="K91" s="5" t="s">
        <v>659</v>
      </c>
      <c r="L91" s="5" t="s">
        <v>660</v>
      </c>
      <c r="M91" s="5"/>
      <c r="N91" s="5" t="s">
        <v>187</v>
      </c>
      <c r="O91" s="81" t="s">
        <v>661</v>
      </c>
      <c r="Q91" s="77" t="s">
        <v>662</v>
      </c>
    </row>
    <row r="92" spans="1:17" ht="33.65" customHeight="1" x14ac:dyDescent="0.25">
      <c r="A92" s="130">
        <f t="shared" si="1"/>
        <v>88</v>
      </c>
      <c r="B92" s="5" t="s">
        <v>663</v>
      </c>
      <c r="C92" s="5" t="s">
        <v>579</v>
      </c>
      <c r="D92" s="77" t="str">
        <f>VLOOKUP(JCM[[#This Row],[Host country]],Country_Mapping[],COLUMN(Country_Mapping[[#Headers],[Region]]),0)</f>
        <v>Asia</v>
      </c>
      <c r="E92" s="77" t="str">
        <f>VLOOKUP(JCM[[#This Row],[Host country]],Country_Mapping[],COLUMN(Country_Mapping[[#Headers],[Sub-region]]),0)</f>
        <v>Southeast Asia</v>
      </c>
      <c r="F92" s="5" t="s">
        <v>664</v>
      </c>
      <c r="G92" s="5" t="s">
        <v>56</v>
      </c>
      <c r="H92" s="5" t="s">
        <v>57</v>
      </c>
      <c r="I92" s="79">
        <f>(899/1000000)*1000</f>
        <v>0.89899999999999991</v>
      </c>
      <c r="J92" s="5" t="s">
        <v>554</v>
      </c>
      <c r="K92" s="5" t="s">
        <v>665</v>
      </c>
      <c r="L92" s="5" t="s">
        <v>355</v>
      </c>
      <c r="M92" s="5"/>
      <c r="N92" s="5" t="s">
        <v>187</v>
      </c>
      <c r="O92" s="81" t="s">
        <v>666</v>
      </c>
      <c r="Q92" s="77" t="s">
        <v>667</v>
      </c>
    </row>
    <row r="93" spans="1:17" ht="33.65" customHeight="1" x14ac:dyDescent="0.25">
      <c r="A93" s="130">
        <f t="shared" si="1"/>
        <v>89</v>
      </c>
      <c r="B93" s="5" t="s">
        <v>668</v>
      </c>
      <c r="C93" s="5" t="s">
        <v>579</v>
      </c>
      <c r="D93" s="77" t="str">
        <f>VLOOKUP(JCM[[#This Row],[Host country]],Country_Mapping[],COLUMN(Country_Mapping[[#Headers],[Region]]),0)</f>
        <v>Asia</v>
      </c>
      <c r="E93" s="77" t="str">
        <f>VLOOKUP(JCM[[#This Row],[Host country]],Country_Mapping[],COLUMN(Country_Mapping[[#Headers],[Sub-region]]),0)</f>
        <v>Southeast Asia</v>
      </c>
      <c r="F93" s="5" t="s">
        <v>669</v>
      </c>
      <c r="G93" s="5" t="s">
        <v>56</v>
      </c>
      <c r="H93" s="5" t="s">
        <v>57</v>
      </c>
      <c r="I93" s="79">
        <f>(369/1000000)*1000</f>
        <v>0.36900000000000005</v>
      </c>
      <c r="J93" s="5" t="s">
        <v>670</v>
      </c>
      <c r="K93" s="5" t="s">
        <v>671</v>
      </c>
      <c r="L93" s="5" t="s">
        <v>672</v>
      </c>
      <c r="M93" s="5"/>
      <c r="N93" s="5" t="s">
        <v>187</v>
      </c>
      <c r="O93" s="81" t="s">
        <v>673</v>
      </c>
      <c r="Q93" s="77" t="s">
        <v>667</v>
      </c>
    </row>
    <row r="94" spans="1:17" ht="33.65" customHeight="1" x14ac:dyDescent="0.25">
      <c r="A94" s="130">
        <f t="shared" si="1"/>
        <v>90</v>
      </c>
      <c r="B94" s="5" t="s">
        <v>674</v>
      </c>
      <c r="C94" s="5" t="s">
        <v>579</v>
      </c>
      <c r="D94" s="77" t="str">
        <f>VLOOKUP(JCM[[#This Row],[Host country]],Country_Mapping[],COLUMN(Country_Mapping[[#Headers],[Region]]),0)</f>
        <v>Asia</v>
      </c>
      <c r="E94" s="77" t="str">
        <f>VLOOKUP(JCM[[#This Row],[Host country]],Country_Mapping[],COLUMN(Country_Mapping[[#Headers],[Sub-region]]),0)</f>
        <v>Southeast Asia</v>
      </c>
      <c r="F94" s="5" t="s">
        <v>675</v>
      </c>
      <c r="G94" s="5" t="s">
        <v>197</v>
      </c>
      <c r="H94" s="5"/>
      <c r="I94" s="79">
        <f>(359/1000000)*1000</f>
        <v>0.35899999999999999</v>
      </c>
      <c r="J94" s="5" t="s">
        <v>676</v>
      </c>
      <c r="K94" s="5" t="s">
        <v>677</v>
      </c>
      <c r="L94" s="5" t="s">
        <v>678</v>
      </c>
      <c r="M94" s="5"/>
      <c r="N94" s="5" t="s">
        <v>187</v>
      </c>
      <c r="O94" s="81" t="s">
        <v>679</v>
      </c>
      <c r="Q94" s="77" t="s">
        <v>680</v>
      </c>
    </row>
    <row r="95" spans="1:17" ht="33.65" customHeight="1" x14ac:dyDescent="0.25">
      <c r="A95" s="130">
        <f t="shared" si="1"/>
        <v>91</v>
      </c>
      <c r="B95" s="5" t="s">
        <v>681</v>
      </c>
      <c r="C95" s="5" t="s">
        <v>579</v>
      </c>
      <c r="D95" s="77" t="str">
        <f>VLOOKUP(JCM[[#This Row],[Host country]],Country_Mapping[],COLUMN(Country_Mapping[[#Headers],[Region]]),0)</f>
        <v>Asia</v>
      </c>
      <c r="E95" s="77" t="str">
        <f>VLOOKUP(JCM[[#This Row],[Host country]],Country_Mapping[],COLUMN(Country_Mapping[[#Headers],[Sub-region]]),0)</f>
        <v>Southeast Asia</v>
      </c>
      <c r="F95" s="5" t="s">
        <v>682</v>
      </c>
      <c r="G95" s="5" t="s">
        <v>197</v>
      </c>
      <c r="H95" s="5"/>
      <c r="I95" s="79">
        <f>(742/1000000)*1000</f>
        <v>0.74199999999999999</v>
      </c>
      <c r="J95" s="5" t="s">
        <v>683</v>
      </c>
      <c r="K95" s="5" t="s">
        <v>684</v>
      </c>
      <c r="L95" s="5" t="s">
        <v>395</v>
      </c>
      <c r="M95" s="5"/>
      <c r="N95" s="5" t="s">
        <v>187</v>
      </c>
      <c r="O95" s="81" t="s">
        <v>685</v>
      </c>
      <c r="Q95" s="77" t="s">
        <v>686</v>
      </c>
    </row>
    <row r="96" spans="1:17" ht="33.65" customHeight="1" x14ac:dyDescent="0.25">
      <c r="A96" s="130">
        <f t="shared" si="1"/>
        <v>92</v>
      </c>
      <c r="B96" s="5" t="s">
        <v>687</v>
      </c>
      <c r="C96" s="5" t="s">
        <v>579</v>
      </c>
      <c r="D96" s="77" t="str">
        <f>VLOOKUP(JCM[[#This Row],[Host country]],Country_Mapping[],COLUMN(Country_Mapping[[#Headers],[Region]]),0)</f>
        <v>Asia</v>
      </c>
      <c r="E96" s="77" t="str">
        <f>VLOOKUP(JCM[[#This Row],[Host country]],Country_Mapping[],COLUMN(Country_Mapping[[#Headers],[Sub-region]]),0)</f>
        <v>Southeast Asia</v>
      </c>
      <c r="F96" s="5" t="s">
        <v>688</v>
      </c>
      <c r="G96" s="5" t="s">
        <v>197</v>
      </c>
      <c r="H96" s="5"/>
      <c r="I96" s="79">
        <f>(1275/1000000)*1000</f>
        <v>1.2750000000000001</v>
      </c>
      <c r="J96" s="5" t="s">
        <v>689</v>
      </c>
      <c r="K96" s="5" t="s">
        <v>690</v>
      </c>
      <c r="L96" s="5" t="s">
        <v>691</v>
      </c>
      <c r="M96" s="5"/>
      <c r="N96" s="5" t="s">
        <v>187</v>
      </c>
      <c r="O96" s="81" t="s">
        <v>692</v>
      </c>
      <c r="Q96" s="77" t="s">
        <v>680</v>
      </c>
    </row>
    <row r="97" spans="1:17" ht="33.65" customHeight="1" x14ac:dyDescent="0.25">
      <c r="A97" s="130">
        <f t="shared" si="1"/>
        <v>93</v>
      </c>
      <c r="B97" s="5" t="s">
        <v>693</v>
      </c>
      <c r="C97" s="5" t="s">
        <v>579</v>
      </c>
      <c r="D97" s="77" t="str">
        <f>VLOOKUP(JCM[[#This Row],[Host country]],Country_Mapping[],COLUMN(Country_Mapping[[#Headers],[Region]]),0)</f>
        <v>Asia</v>
      </c>
      <c r="E97" s="77" t="str">
        <f>VLOOKUP(JCM[[#This Row],[Host country]],Country_Mapping[],COLUMN(Country_Mapping[[#Headers],[Sub-region]]),0)</f>
        <v>Southeast Asia</v>
      </c>
      <c r="F97" s="5" t="s">
        <v>694</v>
      </c>
      <c r="G97" s="5" t="s">
        <v>197</v>
      </c>
      <c r="H97" s="5"/>
      <c r="I97" s="79">
        <f>(132500/1000000)*1000</f>
        <v>132.5</v>
      </c>
      <c r="J97" s="5" t="s">
        <v>695</v>
      </c>
      <c r="K97" s="5" t="s">
        <v>696</v>
      </c>
      <c r="L97" s="5" t="s">
        <v>500</v>
      </c>
      <c r="M97" s="5"/>
      <c r="N97" s="5" t="s">
        <v>187</v>
      </c>
      <c r="O97" s="82" t="s">
        <v>697</v>
      </c>
      <c r="Q97" s="77" t="s">
        <v>680</v>
      </c>
    </row>
    <row r="98" spans="1:17" ht="33.65" customHeight="1" x14ac:dyDescent="0.25">
      <c r="A98" s="130">
        <f t="shared" si="1"/>
        <v>94</v>
      </c>
      <c r="B98" s="5" t="s">
        <v>698</v>
      </c>
      <c r="C98" s="5" t="s">
        <v>579</v>
      </c>
      <c r="D98" s="77" t="str">
        <f>VLOOKUP(JCM[[#This Row],[Host country]],Country_Mapping[],COLUMN(Country_Mapping[[#Headers],[Region]]),0)</f>
        <v>Asia</v>
      </c>
      <c r="E98" s="77" t="str">
        <f>VLOOKUP(JCM[[#This Row],[Host country]],Country_Mapping[],COLUMN(Country_Mapping[[#Headers],[Sub-region]]),0)</f>
        <v>Southeast Asia</v>
      </c>
      <c r="F98" s="5" t="s">
        <v>580</v>
      </c>
      <c r="G98" s="5" t="s">
        <v>197</v>
      </c>
      <c r="H98" s="5"/>
      <c r="I98" s="79">
        <f>(20000/1000000)*1000</f>
        <v>20</v>
      </c>
      <c r="J98" s="5" t="s">
        <v>695</v>
      </c>
      <c r="K98" s="5" t="s">
        <v>690</v>
      </c>
      <c r="L98" s="5" t="s">
        <v>699</v>
      </c>
      <c r="M98" s="5"/>
      <c r="N98" s="5" t="s">
        <v>187</v>
      </c>
      <c r="O98" s="83" t="s">
        <v>700</v>
      </c>
      <c r="Q98" s="77" t="s">
        <v>680</v>
      </c>
    </row>
    <row r="99" spans="1:17" ht="42" x14ac:dyDescent="0.25">
      <c r="A99" s="130">
        <f t="shared" si="1"/>
        <v>95</v>
      </c>
      <c r="B99" s="53" t="s">
        <v>701</v>
      </c>
      <c r="C99" s="5" t="s">
        <v>579</v>
      </c>
      <c r="D99" s="77" t="str">
        <f>VLOOKUP(JCM[[#This Row],[Host country]],Country_Mapping[],COLUMN(Country_Mapping[[#Headers],[Region]]),0)</f>
        <v>Asia</v>
      </c>
      <c r="E99" s="77" t="str">
        <f>VLOOKUP(JCM[[#This Row],[Host country]],Country_Mapping[],COLUMN(Country_Mapping[[#Headers],[Sub-region]]),0)</f>
        <v>Southeast Asia</v>
      </c>
      <c r="F99" s="77" t="s">
        <v>702</v>
      </c>
      <c r="G99" s="5" t="s">
        <v>197</v>
      </c>
      <c r="I99" s="79">
        <f>(17822/1000000)*1000</f>
        <v>17.822000000000003</v>
      </c>
      <c r="J99" s="77" t="s">
        <v>703</v>
      </c>
      <c r="K99" s="77" t="s">
        <v>704</v>
      </c>
      <c r="L99" s="77" t="s">
        <v>705</v>
      </c>
      <c r="N99" s="5" t="s">
        <v>187</v>
      </c>
      <c r="O99" s="83" t="s">
        <v>706</v>
      </c>
      <c r="Q99" s="77" t="s">
        <v>707</v>
      </c>
    </row>
    <row r="100" spans="1:17" ht="42" x14ac:dyDescent="0.25">
      <c r="A100" s="130">
        <f t="shared" si="1"/>
        <v>96</v>
      </c>
      <c r="B100" s="53" t="s">
        <v>708</v>
      </c>
      <c r="C100" s="5" t="s">
        <v>579</v>
      </c>
      <c r="D100" s="77" t="str">
        <f>VLOOKUP(JCM[[#This Row],[Host country]],Country_Mapping[],COLUMN(Country_Mapping[[#Headers],[Region]]),0)</f>
        <v>Asia</v>
      </c>
      <c r="E100" s="77" t="str">
        <f>VLOOKUP(JCM[[#This Row],[Host country]],Country_Mapping[],COLUMN(Country_Mapping[[#Headers],[Sub-region]]),0)</f>
        <v>Southeast Asia</v>
      </c>
      <c r="F100" s="77" t="s">
        <v>601</v>
      </c>
      <c r="G100" s="5" t="s">
        <v>197</v>
      </c>
      <c r="I100" s="79">
        <f>(78/1000000)*1000</f>
        <v>7.8E-2</v>
      </c>
      <c r="J100" s="77" t="s">
        <v>709</v>
      </c>
      <c r="K100" s="77" t="s">
        <v>710</v>
      </c>
      <c r="L100" s="77" t="s">
        <v>711</v>
      </c>
      <c r="N100" s="5" t="s">
        <v>187</v>
      </c>
      <c r="O100" s="83" t="s">
        <v>712</v>
      </c>
      <c r="Q100" s="77" t="s">
        <v>630</v>
      </c>
    </row>
    <row r="101" spans="1:17" ht="28" x14ac:dyDescent="0.25">
      <c r="A101" s="130">
        <f t="shared" si="1"/>
        <v>97</v>
      </c>
      <c r="B101" s="53" t="s">
        <v>713</v>
      </c>
      <c r="C101" s="5" t="s">
        <v>579</v>
      </c>
      <c r="D101" s="77" t="str">
        <f>VLOOKUP(JCM[[#This Row],[Host country]],Country_Mapping[],COLUMN(Country_Mapping[[#Headers],[Region]]),0)</f>
        <v>Asia</v>
      </c>
      <c r="E101" s="77" t="str">
        <f>VLOOKUP(JCM[[#This Row],[Host country]],Country_Mapping[],COLUMN(Country_Mapping[[#Headers],[Sub-region]]),0)</f>
        <v>Southeast Asia</v>
      </c>
      <c r="F101" s="77" t="s">
        <v>714</v>
      </c>
      <c r="G101" s="5" t="s">
        <v>197</v>
      </c>
      <c r="I101" s="79">
        <f>(325/1000000)*1000</f>
        <v>0.32500000000000001</v>
      </c>
      <c r="J101" s="77" t="s">
        <v>620</v>
      </c>
      <c r="K101" s="77" t="s">
        <v>715</v>
      </c>
      <c r="L101" s="77" t="s">
        <v>622</v>
      </c>
      <c r="N101" s="5" t="s">
        <v>187</v>
      </c>
      <c r="O101" s="83" t="s">
        <v>716</v>
      </c>
      <c r="Q101" s="77" t="s">
        <v>717</v>
      </c>
    </row>
    <row r="102" spans="1:17" ht="30.75" customHeight="1" x14ac:dyDescent="0.25">
      <c r="A102" s="130">
        <f t="shared" si="1"/>
        <v>98</v>
      </c>
      <c r="B102" s="53" t="s">
        <v>718</v>
      </c>
      <c r="C102" s="5" t="s">
        <v>579</v>
      </c>
      <c r="D102" s="77" t="str">
        <f>VLOOKUP(JCM[[#This Row],[Host country]],Country_Mapping[],COLUMN(Country_Mapping[[#Headers],[Region]]),0)</f>
        <v>Asia</v>
      </c>
      <c r="E102" s="77" t="str">
        <f>VLOOKUP(JCM[[#This Row],[Host country]],Country_Mapping[],COLUMN(Country_Mapping[[#Headers],[Sub-region]]),0)</f>
        <v>Southeast Asia</v>
      </c>
      <c r="F102" s="77" t="s">
        <v>601</v>
      </c>
      <c r="G102" s="5" t="s">
        <v>251</v>
      </c>
      <c r="I102" s="79">
        <f>(166/1000000)*1000</f>
        <v>0.16600000000000001</v>
      </c>
      <c r="J102" s="53" t="s">
        <v>719</v>
      </c>
      <c r="K102" s="77" t="s">
        <v>720</v>
      </c>
      <c r="L102" s="77" t="s">
        <v>660</v>
      </c>
      <c r="N102" s="5" t="s">
        <v>187</v>
      </c>
      <c r="O102" s="83" t="s">
        <v>721</v>
      </c>
      <c r="Q102" s="77" t="s">
        <v>722</v>
      </c>
    </row>
    <row r="103" spans="1:17" ht="49.5" customHeight="1" x14ac:dyDescent="0.25">
      <c r="A103" s="130">
        <f t="shared" si="1"/>
        <v>99</v>
      </c>
      <c r="B103" s="53" t="s">
        <v>708</v>
      </c>
      <c r="C103" s="5" t="s">
        <v>579</v>
      </c>
      <c r="D103" s="77" t="str">
        <f>VLOOKUP(JCM[[#This Row],[Host country]],Country_Mapping[],COLUMN(Country_Mapping[[#Headers],[Region]]),0)</f>
        <v>Asia</v>
      </c>
      <c r="E103" s="77" t="str">
        <f>VLOOKUP(JCM[[#This Row],[Host country]],Country_Mapping[],COLUMN(Country_Mapping[[#Headers],[Sub-region]]),0)</f>
        <v>Southeast Asia</v>
      </c>
      <c r="F103" s="77" t="s">
        <v>601</v>
      </c>
      <c r="G103" s="5" t="s">
        <v>197</v>
      </c>
      <c r="I103" s="79">
        <f>(23/1000000)*1000</f>
        <v>2.3E-2</v>
      </c>
      <c r="J103" s="53" t="s">
        <v>620</v>
      </c>
      <c r="K103" s="77" t="s">
        <v>723</v>
      </c>
      <c r="L103" s="77" t="s">
        <v>711</v>
      </c>
      <c r="N103" s="5" t="s">
        <v>187</v>
      </c>
      <c r="O103" s="83" t="s">
        <v>724</v>
      </c>
      <c r="Q103" s="77" t="s">
        <v>347</v>
      </c>
    </row>
    <row r="104" spans="1:17" ht="42" x14ac:dyDescent="0.25">
      <c r="A104" s="130">
        <f t="shared" si="1"/>
        <v>100</v>
      </c>
      <c r="B104" s="53" t="s">
        <v>725</v>
      </c>
      <c r="C104" s="5" t="s">
        <v>579</v>
      </c>
      <c r="D104" s="77" t="str">
        <f>VLOOKUP(JCM[[#This Row],[Host country]],Country_Mapping[],COLUMN(Country_Mapping[[#Headers],[Region]]),0)</f>
        <v>Asia</v>
      </c>
      <c r="E104" s="77" t="str">
        <f>VLOOKUP(JCM[[#This Row],[Host country]],Country_Mapping[],COLUMN(Country_Mapping[[#Headers],[Sub-region]]),0)</f>
        <v>Southeast Asia</v>
      </c>
      <c r="F104" s="77" t="s">
        <v>726</v>
      </c>
      <c r="G104" s="5" t="s">
        <v>197</v>
      </c>
      <c r="I104" s="79">
        <f>(115/1000000)*1000</f>
        <v>0.115</v>
      </c>
      <c r="J104" s="77" t="s">
        <v>727</v>
      </c>
      <c r="K104" s="77" t="s">
        <v>728</v>
      </c>
      <c r="L104" s="77" t="s">
        <v>729</v>
      </c>
      <c r="N104" s="77" t="s">
        <v>187</v>
      </c>
      <c r="O104" s="83" t="s">
        <v>730</v>
      </c>
      <c r="Q104" s="77" t="s">
        <v>731</v>
      </c>
    </row>
    <row r="105" spans="1:17" ht="27.75" customHeight="1" x14ac:dyDescent="0.25">
      <c r="A105" s="130">
        <f t="shared" si="1"/>
        <v>101</v>
      </c>
      <c r="B105" s="53" t="s">
        <v>732</v>
      </c>
      <c r="C105" s="5" t="s">
        <v>579</v>
      </c>
      <c r="D105" s="77" t="str">
        <f>VLOOKUP(JCM[[#This Row],[Host country]],Country_Mapping[],COLUMN(Country_Mapping[[#Headers],[Region]]),0)</f>
        <v>Asia</v>
      </c>
      <c r="E105" s="77" t="str">
        <f>VLOOKUP(JCM[[#This Row],[Host country]],Country_Mapping[],COLUMN(Country_Mapping[[#Headers],[Sub-region]]),0)</f>
        <v>Southeast Asia</v>
      </c>
      <c r="F105" s="77" t="s">
        <v>733</v>
      </c>
      <c r="G105" s="5" t="s">
        <v>197</v>
      </c>
      <c r="I105" s="79">
        <f>(145/1000000)*1000</f>
        <v>0.14499999999999999</v>
      </c>
      <c r="J105" s="53" t="s">
        <v>734</v>
      </c>
      <c r="K105" s="77" t="s">
        <v>735</v>
      </c>
      <c r="L105" s="77" t="s">
        <v>736</v>
      </c>
      <c r="N105" s="77" t="s">
        <v>187</v>
      </c>
      <c r="O105" s="83" t="s">
        <v>737</v>
      </c>
      <c r="Q105" s="77" t="s">
        <v>738</v>
      </c>
    </row>
    <row r="106" spans="1:17" ht="28" x14ac:dyDescent="0.25">
      <c r="A106" s="130">
        <f t="shared" si="1"/>
        <v>102</v>
      </c>
      <c r="B106" s="53" t="s">
        <v>739</v>
      </c>
      <c r="C106" s="77" t="s">
        <v>579</v>
      </c>
      <c r="D106" s="77" t="str">
        <f>VLOOKUP(JCM[[#This Row],[Host country]],Country_Mapping[],COLUMN(Country_Mapping[[#Headers],[Region]]),0)</f>
        <v>Asia</v>
      </c>
      <c r="E106" s="77" t="str">
        <f>VLOOKUP(JCM[[#This Row],[Host country]],Country_Mapping[],COLUMN(Country_Mapping[[#Headers],[Sub-region]]),0)</f>
        <v>Southeast Asia</v>
      </c>
      <c r="F106" s="77" t="s">
        <v>601</v>
      </c>
      <c r="G106" s="5" t="s">
        <v>197</v>
      </c>
      <c r="I106" s="79">
        <f>(176/1000000)*1000</f>
        <v>0.17599999999999999</v>
      </c>
      <c r="J106" s="77" t="s">
        <v>740</v>
      </c>
      <c r="K106" s="77" t="s">
        <v>741</v>
      </c>
      <c r="L106" s="77" t="s">
        <v>736</v>
      </c>
      <c r="N106" s="77" t="s">
        <v>187</v>
      </c>
      <c r="O106" s="83" t="s">
        <v>742</v>
      </c>
      <c r="Q106" s="77" t="s">
        <v>738</v>
      </c>
    </row>
    <row r="107" spans="1:17" ht="28" x14ac:dyDescent="0.25">
      <c r="A107" s="130">
        <f t="shared" si="1"/>
        <v>103</v>
      </c>
      <c r="B107" s="53" t="s">
        <v>743</v>
      </c>
      <c r="C107" s="77" t="s">
        <v>579</v>
      </c>
      <c r="D107" s="77" t="str">
        <f>VLOOKUP(JCM[[#This Row],[Host country]],Country_Mapping[],COLUMN(Country_Mapping[[#Headers],[Region]]),0)</f>
        <v>Asia</v>
      </c>
      <c r="E107" s="77" t="str">
        <f>VLOOKUP(JCM[[#This Row],[Host country]],Country_Mapping[],COLUMN(Country_Mapping[[#Headers],[Sub-region]]),0)</f>
        <v>Southeast Asia</v>
      </c>
      <c r="F107" s="77" t="s">
        <v>601</v>
      </c>
      <c r="G107" s="5" t="s">
        <v>197</v>
      </c>
      <c r="I107" s="79">
        <f>(21/1000000)*1000</f>
        <v>2.0999999999999998E-2</v>
      </c>
      <c r="J107" s="77" t="s">
        <v>744</v>
      </c>
      <c r="K107" s="77" t="s">
        <v>745</v>
      </c>
      <c r="L107" s="77" t="s">
        <v>746</v>
      </c>
      <c r="N107" s="77" t="s">
        <v>187</v>
      </c>
      <c r="O107" s="83" t="s">
        <v>747</v>
      </c>
      <c r="Q107" s="77" t="s">
        <v>748</v>
      </c>
    </row>
    <row r="108" spans="1:17" ht="31.5" customHeight="1" x14ac:dyDescent="0.25">
      <c r="A108" s="130">
        <f t="shared" si="1"/>
        <v>104</v>
      </c>
      <c r="B108" s="53" t="s">
        <v>749</v>
      </c>
      <c r="C108" s="77" t="s">
        <v>579</v>
      </c>
      <c r="D108" s="77" t="str">
        <f>VLOOKUP(JCM[[#This Row],[Host country]],Country_Mapping[],COLUMN(Country_Mapping[[#Headers],[Region]]),0)</f>
        <v>Asia</v>
      </c>
      <c r="E108" s="77" t="str">
        <f>VLOOKUP(JCM[[#This Row],[Host country]],Country_Mapping[],COLUMN(Country_Mapping[[#Headers],[Sub-region]]),0)</f>
        <v>Southeast Asia</v>
      </c>
      <c r="F108" s="77" t="s">
        <v>601</v>
      </c>
      <c r="G108" s="5" t="s">
        <v>197</v>
      </c>
      <c r="I108" s="79">
        <f>(120/1000000)*1000</f>
        <v>0.12000000000000001</v>
      </c>
      <c r="J108" s="53" t="s">
        <v>744</v>
      </c>
      <c r="K108" s="77" t="s">
        <v>745</v>
      </c>
      <c r="L108" s="77" t="s">
        <v>746</v>
      </c>
      <c r="N108" s="77" t="s">
        <v>187</v>
      </c>
      <c r="O108" s="83" t="s">
        <v>750</v>
      </c>
      <c r="Q108" s="77" t="s">
        <v>748</v>
      </c>
    </row>
    <row r="109" spans="1:17" ht="32.25" customHeight="1" x14ac:dyDescent="0.25">
      <c r="A109" s="130">
        <f t="shared" si="1"/>
        <v>105</v>
      </c>
      <c r="B109" s="53" t="s">
        <v>751</v>
      </c>
      <c r="C109" s="77" t="s">
        <v>579</v>
      </c>
      <c r="D109" s="77" t="str">
        <f>VLOOKUP(JCM[[#This Row],[Host country]],Country_Mapping[],COLUMN(Country_Mapping[[#Headers],[Region]]),0)</f>
        <v>Asia</v>
      </c>
      <c r="E109" s="77" t="str">
        <f>VLOOKUP(JCM[[#This Row],[Host country]],Country_Mapping[],COLUMN(Country_Mapping[[#Headers],[Sub-region]]),0)</f>
        <v>Southeast Asia</v>
      </c>
      <c r="F109" s="77" t="s">
        <v>733</v>
      </c>
      <c r="G109" s="5" t="s">
        <v>197</v>
      </c>
      <c r="I109" s="79">
        <f>(114/1000000)*1000</f>
        <v>0.114</v>
      </c>
      <c r="J109" s="53" t="s">
        <v>752</v>
      </c>
      <c r="K109" s="77" t="s">
        <v>735</v>
      </c>
      <c r="L109" s="77" t="s">
        <v>736</v>
      </c>
      <c r="N109" s="77" t="s">
        <v>187</v>
      </c>
      <c r="O109" s="83" t="s">
        <v>753</v>
      </c>
      <c r="Q109" s="77" t="s">
        <v>754</v>
      </c>
    </row>
    <row r="110" spans="1:17" x14ac:dyDescent="0.25">
      <c r="A110" s="130">
        <f t="shared" si="1"/>
        <v>106</v>
      </c>
      <c r="B110" s="53" t="s">
        <v>755</v>
      </c>
      <c r="C110" s="77" t="s">
        <v>756</v>
      </c>
      <c r="D110" s="77" t="str">
        <f>VLOOKUP(JCM[[#This Row],[Host country]],Country_Mapping[],COLUMN(Country_Mapping[[#Headers],[Region]]),0)</f>
        <v>Americas</v>
      </c>
      <c r="E110" s="77" t="str">
        <f>VLOOKUP(JCM[[#This Row],[Host country]],Country_Mapping[],COLUMN(Country_Mapping[[#Headers],[Sub-region]]),0)</f>
        <v>South America</v>
      </c>
      <c r="F110" s="77" t="s">
        <v>757</v>
      </c>
      <c r="G110" s="77" t="s">
        <v>56</v>
      </c>
      <c r="H110" s="77" t="s">
        <v>57</v>
      </c>
      <c r="I110" s="79">
        <f>(2318/1000000)*1000</f>
        <v>2.3180000000000001</v>
      </c>
      <c r="J110" s="77" t="s">
        <v>758</v>
      </c>
      <c r="K110" s="77" t="s">
        <v>759</v>
      </c>
      <c r="L110" s="77" t="s">
        <v>760</v>
      </c>
      <c r="N110" s="77" t="s">
        <v>187</v>
      </c>
      <c r="O110" s="84" t="s">
        <v>761</v>
      </c>
      <c r="Q110" s="77" t="s">
        <v>762</v>
      </c>
    </row>
    <row r="111" spans="1:17" x14ac:dyDescent="0.25">
      <c r="A111" s="130">
        <f t="shared" si="1"/>
        <v>107</v>
      </c>
      <c r="B111" s="53" t="s">
        <v>763</v>
      </c>
      <c r="C111" s="77" t="s">
        <v>756</v>
      </c>
      <c r="D111" s="77" t="str">
        <f>VLOOKUP(JCM[[#This Row],[Host country]],Country_Mapping[],COLUMN(Country_Mapping[[#Headers],[Region]]),0)</f>
        <v>Americas</v>
      </c>
      <c r="E111" s="77" t="str">
        <f>VLOOKUP(JCM[[#This Row],[Host country]],Country_Mapping[],COLUMN(Country_Mapping[[#Headers],[Sub-region]]),0)</f>
        <v>South America</v>
      </c>
      <c r="F111" s="77" t="s">
        <v>764</v>
      </c>
      <c r="G111" s="77" t="s">
        <v>56</v>
      </c>
      <c r="H111" s="77" t="s">
        <v>57</v>
      </c>
      <c r="I111" s="79">
        <f>(500/1000000)*1000</f>
        <v>0.5</v>
      </c>
      <c r="J111" s="77" t="s">
        <v>765</v>
      </c>
      <c r="K111" s="77" t="s">
        <v>766</v>
      </c>
      <c r="L111" s="77" t="s">
        <v>767</v>
      </c>
      <c r="N111" s="77" t="s">
        <v>187</v>
      </c>
      <c r="O111" s="83" t="s">
        <v>768</v>
      </c>
      <c r="Q111" s="77" t="s">
        <v>769</v>
      </c>
    </row>
    <row r="112" spans="1:17" ht="28" x14ac:dyDescent="0.25">
      <c r="A112" s="130">
        <f t="shared" si="1"/>
        <v>108</v>
      </c>
      <c r="B112" s="53" t="s">
        <v>770</v>
      </c>
      <c r="C112" s="77" t="s">
        <v>771</v>
      </c>
      <c r="D112" s="77" t="str">
        <f>VLOOKUP(JCM[[#This Row],[Host country]],Country_Mapping[],COLUMN(Country_Mapping[[#Headers],[Region]]),0)</f>
        <v>Americas</v>
      </c>
      <c r="E112" s="77" t="str">
        <f>VLOOKUP(JCM[[#This Row],[Host country]],Country_Mapping[],COLUMN(Country_Mapping[[#Headers],[Sub-region]]),0)</f>
        <v>Central America</v>
      </c>
      <c r="F112" s="77" t="s">
        <v>772</v>
      </c>
      <c r="G112" s="77" t="s">
        <v>251</v>
      </c>
      <c r="I112" s="79">
        <f>(274/1000000)*1000</f>
        <v>0.27399999999999997</v>
      </c>
      <c r="J112" s="77" t="s">
        <v>620</v>
      </c>
      <c r="K112" s="77" t="s">
        <v>773</v>
      </c>
      <c r="L112" s="77" t="s">
        <v>259</v>
      </c>
      <c r="N112" s="77" t="s">
        <v>187</v>
      </c>
      <c r="O112" s="83" t="s">
        <v>774</v>
      </c>
      <c r="Q112" s="77" t="s">
        <v>189</v>
      </c>
    </row>
    <row r="113" spans="1:17" ht="29.25" customHeight="1" x14ac:dyDescent="0.25">
      <c r="A113" s="130">
        <f t="shared" si="1"/>
        <v>109</v>
      </c>
      <c r="B113" s="53" t="s">
        <v>775</v>
      </c>
      <c r="C113" s="77" t="s">
        <v>771</v>
      </c>
      <c r="D113" s="77" t="str">
        <f>VLOOKUP(JCM[[#This Row],[Host country]],Country_Mapping[],COLUMN(Country_Mapping[[#Headers],[Region]]),0)</f>
        <v>Americas</v>
      </c>
      <c r="E113" s="77" t="str">
        <f>VLOOKUP(JCM[[#This Row],[Host country]],Country_Mapping[],COLUMN(Country_Mapping[[#Headers],[Sub-region]]),0)</f>
        <v>Central America</v>
      </c>
      <c r="F113" s="77" t="s">
        <v>776</v>
      </c>
      <c r="G113" s="77" t="s">
        <v>56</v>
      </c>
      <c r="H113" s="77" t="s">
        <v>57</v>
      </c>
      <c r="I113" s="79">
        <f>(2711/1000000)*1000</f>
        <v>2.7109999999999999</v>
      </c>
      <c r="J113" s="53" t="s">
        <v>777</v>
      </c>
      <c r="K113" s="77" t="s">
        <v>778</v>
      </c>
      <c r="L113" s="77" t="s">
        <v>259</v>
      </c>
      <c r="N113" s="77" t="s">
        <v>187</v>
      </c>
      <c r="O113" s="83" t="s">
        <v>779</v>
      </c>
      <c r="Q113" s="77" t="s">
        <v>780</v>
      </c>
    </row>
    <row r="114" spans="1:17" ht="28" x14ac:dyDescent="0.25">
      <c r="A114" s="130">
        <f t="shared" si="1"/>
        <v>110</v>
      </c>
      <c r="B114" s="53" t="s">
        <v>781</v>
      </c>
      <c r="C114" s="77" t="s">
        <v>782</v>
      </c>
      <c r="D114" s="77" t="str">
        <f>VLOOKUP(JCM[[#This Row],[Host country]],Country_Mapping[],COLUMN(Country_Mapping[[#Headers],[Region]]),0)</f>
        <v>Asia</v>
      </c>
      <c r="E114" s="77" t="str">
        <f>VLOOKUP(JCM[[#This Row],[Host country]],Country_Mapping[],COLUMN(Country_Mapping[[#Headers],[Sub-region]]),0)</f>
        <v>Southern Asia</v>
      </c>
      <c r="F114" s="77" t="s">
        <v>783</v>
      </c>
      <c r="G114" s="77" t="s">
        <v>56</v>
      </c>
      <c r="H114" s="77" t="s">
        <v>57</v>
      </c>
      <c r="I114" s="79">
        <f>(203/1000000)*1000</f>
        <v>0.20300000000000001</v>
      </c>
      <c r="J114" s="77" t="s">
        <v>620</v>
      </c>
      <c r="K114" s="77" t="s">
        <v>784</v>
      </c>
      <c r="L114" s="77" t="s">
        <v>785</v>
      </c>
      <c r="N114" s="77" t="s">
        <v>187</v>
      </c>
      <c r="O114" s="83" t="s">
        <v>786</v>
      </c>
      <c r="Q114" s="77" t="s">
        <v>787</v>
      </c>
    </row>
    <row r="115" spans="1:17" ht="17.25" customHeight="1" x14ac:dyDescent="0.25">
      <c r="A115" s="130">
        <f t="shared" si="1"/>
        <v>111</v>
      </c>
      <c r="B115" s="53" t="s">
        <v>788</v>
      </c>
      <c r="C115" s="77" t="s">
        <v>782</v>
      </c>
      <c r="D115" s="77" t="str">
        <f>VLOOKUP(JCM[[#This Row],[Host country]],Country_Mapping[],COLUMN(Country_Mapping[[#Headers],[Region]]),0)</f>
        <v>Asia</v>
      </c>
      <c r="E115" s="77" t="str">
        <f>VLOOKUP(JCM[[#This Row],[Host country]],Country_Mapping[],COLUMN(Country_Mapping[[#Headers],[Sub-region]]),0)</f>
        <v>Southern Asia</v>
      </c>
      <c r="F115" s="77" t="s">
        <v>789</v>
      </c>
      <c r="G115" s="77" t="s">
        <v>197</v>
      </c>
      <c r="I115" s="79">
        <f>(382/1000000)*1000</f>
        <v>0.38200000000000001</v>
      </c>
      <c r="J115" s="53" t="s">
        <v>790</v>
      </c>
      <c r="K115" s="77" t="s">
        <v>791</v>
      </c>
      <c r="L115" s="77" t="s">
        <v>660</v>
      </c>
      <c r="N115" s="77" t="s">
        <v>187</v>
      </c>
      <c r="O115" s="83" t="s">
        <v>792</v>
      </c>
      <c r="Q115" s="77" t="s">
        <v>787</v>
      </c>
    </row>
    <row r="116" spans="1:17" ht="28" x14ac:dyDescent="0.25">
      <c r="A116" s="130">
        <f t="shared" si="1"/>
        <v>112</v>
      </c>
      <c r="B116" s="53" t="s">
        <v>793</v>
      </c>
      <c r="C116" s="77" t="s">
        <v>782</v>
      </c>
      <c r="D116" s="77" t="str">
        <f>VLOOKUP(JCM[[#This Row],[Host country]],Country_Mapping[],COLUMN(Country_Mapping[[#Headers],[Region]]),0)</f>
        <v>Asia</v>
      </c>
      <c r="E116" s="77" t="str">
        <f>VLOOKUP(JCM[[#This Row],[Host country]],Country_Mapping[],COLUMN(Country_Mapping[[#Headers],[Sub-region]]),0)</f>
        <v>Southern Asia</v>
      </c>
      <c r="F116" s="77" t="s">
        <v>783</v>
      </c>
      <c r="G116" s="77" t="s">
        <v>197</v>
      </c>
      <c r="I116" s="79">
        <f>(485/1000000)*1000</f>
        <v>0.48500000000000004</v>
      </c>
      <c r="J116" s="77" t="s">
        <v>794</v>
      </c>
      <c r="K116" s="77" t="s">
        <v>795</v>
      </c>
      <c r="L116" s="77" t="s">
        <v>796</v>
      </c>
      <c r="N116" s="77" t="s">
        <v>187</v>
      </c>
      <c r="O116" s="83" t="s">
        <v>797</v>
      </c>
      <c r="Q116" s="77" t="s">
        <v>798</v>
      </c>
    </row>
    <row r="117" spans="1:17" ht="30.75" customHeight="1" x14ac:dyDescent="0.25">
      <c r="A117" s="130">
        <f t="shared" si="1"/>
        <v>113</v>
      </c>
      <c r="B117" s="53" t="s">
        <v>799</v>
      </c>
      <c r="C117" s="77" t="s">
        <v>782</v>
      </c>
      <c r="D117" s="77" t="str">
        <f>VLOOKUP(JCM[[#This Row],[Host country]],Country_Mapping[],COLUMN(Country_Mapping[[#Headers],[Region]]),0)</f>
        <v>Asia</v>
      </c>
      <c r="E117" s="77" t="str">
        <f>VLOOKUP(JCM[[#This Row],[Host country]],Country_Mapping[],COLUMN(Country_Mapping[[#Headers],[Sub-region]]),0)</f>
        <v>Southern Asia</v>
      </c>
      <c r="F117" s="77" t="s">
        <v>783</v>
      </c>
      <c r="G117" s="77" t="s">
        <v>197</v>
      </c>
      <c r="I117" s="79">
        <f>(91/1000000)*1000</f>
        <v>9.0999999999999998E-2</v>
      </c>
      <c r="J117" s="53" t="s">
        <v>620</v>
      </c>
      <c r="K117" s="77" t="s">
        <v>800</v>
      </c>
      <c r="L117" s="77" t="s">
        <v>801</v>
      </c>
      <c r="N117" s="77" t="s">
        <v>187</v>
      </c>
      <c r="O117" s="83" t="s">
        <v>802</v>
      </c>
      <c r="Q117" s="77" t="s">
        <v>189</v>
      </c>
    </row>
    <row r="118" spans="1:17" x14ac:dyDescent="0.25">
      <c r="A118" s="53"/>
    </row>
    <row r="119" spans="1:17" x14ac:dyDescent="0.25">
      <c r="A119" s="53"/>
    </row>
    <row r="128" spans="1:17" x14ac:dyDescent="0.25">
      <c r="C128" s="78"/>
      <c r="D128" s="78"/>
      <c r="E128" s="78"/>
    </row>
  </sheetData>
  <mergeCells count="2">
    <mergeCell ref="A2:O2"/>
    <mergeCell ref="A3:B3"/>
  </mergeCells>
  <phoneticPr fontId="37" type="noConversion"/>
  <conditionalFormatting sqref="A4">
    <cfRule type="containsText" dxfId="11" priority="1" operator="containsText" text="CDM6044">
      <formula>NOT(ISERROR(SEARCH("CDM6044",A4)))</formula>
    </cfRule>
    <cfRule type="containsText" dxfId="10" priority="2" operator="containsText" text="CDM6043">
      <formula>NOT(ISERROR(SEARCH("CDM6043",A4)))</formula>
    </cfRule>
    <cfRule type="containsText" dxfId="9" priority="3" operator="containsText" text="CDM6043">
      <formula>NOT(ISERROR(SEARCH("CDM6043",A4)))</formula>
    </cfRule>
    <cfRule type="containsText" dxfId="8" priority="4" operator="containsText" text="CDM6042">
      <formula>NOT(ISERROR(SEARCH("CDM6042",A4)))</formula>
    </cfRule>
  </conditionalFormatting>
  <dataValidations count="1">
    <dataValidation type="list" allowBlank="1" showInputMessage="1" showErrorMessage="1" errorTitle="Invalid Country" sqref="C5:C117" xr:uid="{69745BE4-F530-419C-96DD-C7DD56E84405}">
      <formula1>Countries</formula1>
    </dataValidation>
  </dataValidations>
  <hyperlinks>
    <hyperlink ref="O5" r:id="rId1" xr:uid="{4C1B70D8-8CE5-4327-A1E9-5B8B99B4BAD4}"/>
    <hyperlink ref="O6" r:id="rId2" xr:uid="{DDA54993-03FC-4B67-BDF4-292722E6A553}"/>
    <hyperlink ref="O7" r:id="rId3" xr:uid="{2A59E864-F1F2-4DF9-987E-A722CE20EF5B}"/>
    <hyperlink ref="O8" r:id="rId4" xr:uid="{FEF5CF0E-2F3E-4ACF-A50C-6C444178969D}"/>
    <hyperlink ref="O9" r:id="rId5" xr:uid="{A2860A64-9BD1-4586-9D76-3C9AE4B7199C}"/>
    <hyperlink ref="O11" r:id="rId6" xr:uid="{019101AD-29B1-42C4-8D11-0489D6EA5485}"/>
    <hyperlink ref="O12" r:id="rId7" xr:uid="{A301987D-FE68-4D5D-905D-2E6CAE4F7954}"/>
    <hyperlink ref="O16" r:id="rId8" xr:uid="{02EE304E-DBB0-499D-A76A-CC8B47FAE1C2}"/>
    <hyperlink ref="O17" r:id="rId9" xr:uid="{D18A6BA0-078F-4F24-872D-61D1CC79B52A}"/>
    <hyperlink ref="O20" r:id="rId10" xr:uid="{3B5B24DC-75FE-42CA-96E4-7CBA46B744FA}"/>
    <hyperlink ref="O21" r:id="rId11" xr:uid="{3EF91340-7382-419C-8D2C-5B76D8E02EE9}"/>
    <hyperlink ref="O22" r:id="rId12" xr:uid="{99D71975-0094-4C2E-A343-062C35586644}"/>
    <hyperlink ref="O23" r:id="rId13" xr:uid="{6E60E43A-61C2-460D-9042-76495B2564BB}"/>
    <hyperlink ref="O24" r:id="rId14" xr:uid="{9C90D306-1010-4C3C-B0B7-E6C3764E7961}"/>
    <hyperlink ref="O25" r:id="rId15" xr:uid="{E7DDE657-DA72-4AAD-A008-D8294F3FE9CC}"/>
    <hyperlink ref="O26" r:id="rId16" xr:uid="{394E6F01-AC21-45CE-87B0-00FE5EFFD5A2}"/>
    <hyperlink ref="O27" r:id="rId17" xr:uid="{D5A40511-053B-4345-A14B-E001B6016152}"/>
    <hyperlink ref="O28" r:id="rId18" xr:uid="{7EDEBFF3-632E-4429-A43D-C367A080DE86}"/>
    <hyperlink ref="O29" r:id="rId19" xr:uid="{0FA07B88-6635-476B-925B-28D5F6647383}"/>
    <hyperlink ref="O30" r:id="rId20" xr:uid="{F2016185-7C23-4127-B8FD-62764C4DF14A}"/>
    <hyperlink ref="O31" r:id="rId21" xr:uid="{051ACD51-0E61-4F26-85A6-4C6E73D90BAD}"/>
    <hyperlink ref="O32" r:id="rId22" xr:uid="{C8EF03A2-F27D-49A5-A179-0374DB711222}"/>
    <hyperlink ref="O33" r:id="rId23" xr:uid="{CB41FE05-9575-4CCC-AC43-15A87E1CBECD}"/>
    <hyperlink ref="O34" r:id="rId24" xr:uid="{1DFF828D-A725-4ABB-AAFC-568C825F5468}"/>
    <hyperlink ref="O35" r:id="rId25" xr:uid="{498E3528-78CA-4891-ACDB-0B5DA57BF45D}"/>
    <hyperlink ref="O36" r:id="rId26" xr:uid="{26825F41-4E9B-4D30-84CC-B2BB1E19A7C9}"/>
    <hyperlink ref="O37" r:id="rId27" xr:uid="{FE86AF44-04B3-47A8-AAAD-8B95F569CB36}"/>
    <hyperlink ref="O38" r:id="rId28" xr:uid="{5645DB9A-5CFC-4D2F-B7E4-9C89ECBD43DA}"/>
    <hyperlink ref="O39" r:id="rId29" xr:uid="{5436B3CC-5A90-4AC1-AFCD-C3098BA043A3}"/>
    <hyperlink ref="O40" r:id="rId30" xr:uid="{C7BA77B9-4183-497B-84C8-E5AB015550B4}"/>
    <hyperlink ref="O41" r:id="rId31" xr:uid="{FE262383-9288-41C9-9BAA-EDCE6B2C8194}"/>
    <hyperlink ref="O42" r:id="rId32" xr:uid="{C3C35512-3769-43E4-B264-0E08D3150ED0}"/>
    <hyperlink ref="O43" r:id="rId33" xr:uid="{92E8255F-2796-4FF9-8687-5C4FBDA41C39}"/>
    <hyperlink ref="O44" r:id="rId34" xr:uid="{A4A1A896-65A4-4CF5-B88F-4E7A520B6D64}"/>
    <hyperlink ref="O45" r:id="rId35" xr:uid="{2A71CEEC-5239-42C2-94EA-BDEBABC9B85C}"/>
    <hyperlink ref="O46" r:id="rId36" xr:uid="{4E044A43-2905-43EA-A16E-B772E4406027}"/>
    <hyperlink ref="O47" r:id="rId37" xr:uid="{03B34F07-197D-48C9-A30C-1CFF8AC49171}"/>
    <hyperlink ref="O48" r:id="rId38" xr:uid="{2E7DFA1A-3328-47EE-8896-2EA308B3F72B}"/>
    <hyperlink ref="O49" r:id="rId39" xr:uid="{9BCBE874-759E-480E-B12A-19FC256BC013}"/>
    <hyperlink ref="O50" r:id="rId40" xr:uid="{086C307C-AC5C-45A3-A2CA-06FB64C26153}"/>
    <hyperlink ref="O51" r:id="rId41" xr:uid="{4E500466-8498-46B1-B137-F44236BF1109}"/>
    <hyperlink ref="O52" r:id="rId42" xr:uid="{ED6DF1FD-F8FC-4FEA-8419-D4754E759D26}"/>
    <hyperlink ref="O53" r:id="rId43" xr:uid="{8D7EF664-F951-4347-B22F-77BCD647DE00}"/>
    <hyperlink ref="O54" r:id="rId44" xr:uid="{E07CD309-96F2-46F9-A447-D220B7B5E3DE}"/>
    <hyperlink ref="O55" r:id="rId45" xr:uid="{4905C919-DC8B-4E96-B99E-8063796F8D4B}"/>
    <hyperlink ref="O56" r:id="rId46" xr:uid="{631DC47A-9668-498A-8DBC-29670A19F199}"/>
    <hyperlink ref="O57" r:id="rId47" xr:uid="{D41DC079-6C4E-4DA3-AE36-CF6351AE3C50}"/>
    <hyperlink ref="O59" r:id="rId48" xr:uid="{5F28213D-C14E-4A02-BC29-D41937D5445E}"/>
    <hyperlink ref="O60" r:id="rId49" xr:uid="{ABEA586F-619E-4637-BEA2-07B0EAD39A70}"/>
    <hyperlink ref="O61" r:id="rId50" xr:uid="{026595AC-07D9-4AC7-B235-35F74CB047E3}"/>
    <hyperlink ref="O62" r:id="rId51" xr:uid="{AA1FAEEF-9C06-4D63-9588-E14945D2A2C6}"/>
    <hyperlink ref="O63" r:id="rId52" xr:uid="{4AC5BC34-2061-424A-974B-D38AAF3AFC03}"/>
    <hyperlink ref="O64" r:id="rId53" xr:uid="{BEEF276B-C6CE-47A0-A798-D492FD14F9B5}"/>
    <hyperlink ref="O65" r:id="rId54" xr:uid="{93F35A46-CBE6-4219-B20E-F2C57B2B5E0F}"/>
    <hyperlink ref="O67" r:id="rId55" xr:uid="{A65D64FF-F3C1-4BE0-9218-65601C540F47}"/>
    <hyperlink ref="O68" r:id="rId56" xr:uid="{76B0B579-5020-4D2A-9F82-ACAB02B203B0}"/>
    <hyperlink ref="O69" r:id="rId57" xr:uid="{D664F50E-E0FB-4126-B571-C1119B990AEF}"/>
    <hyperlink ref="O70" r:id="rId58" xr:uid="{E2073D81-C799-4141-ADCF-E7FBC5D726B2}"/>
    <hyperlink ref="O73" r:id="rId59" xr:uid="{9BE29E14-05BA-4BB8-9259-8C7A6127149E}"/>
    <hyperlink ref="O58" r:id="rId60" xr:uid="{EA637445-FCE4-4BE1-B7E5-09EFC0253F78}"/>
    <hyperlink ref="O66" r:id="rId61" xr:uid="{E72F8B8D-6908-444F-938A-455B79193826}"/>
    <hyperlink ref="O71" r:id="rId62" xr:uid="{2096239F-D0D7-4DD5-84FB-82135F92EE53}"/>
    <hyperlink ref="O72" r:id="rId63" xr:uid="{D789B727-5290-4156-A1FF-7DAC9662F75D}"/>
    <hyperlink ref="O74" r:id="rId64" xr:uid="{D1792191-A9EF-4C01-A524-87A6FFE6B437}"/>
    <hyperlink ref="O75" r:id="rId65" xr:uid="{A91ABEE8-ECE6-4E11-921D-D724AD506B67}"/>
    <hyperlink ref="O76" r:id="rId66" xr:uid="{E3AA53C0-03F5-42AF-982E-E11A03DF591C}"/>
    <hyperlink ref="O77" r:id="rId67" xr:uid="{97BD2241-85C9-4EDD-98C6-8C4066F7A22D}"/>
    <hyperlink ref="O78" r:id="rId68" xr:uid="{CD2273F3-DEED-4091-9B08-67073E7DF2B4}"/>
    <hyperlink ref="O79" r:id="rId69" xr:uid="{942C3F42-F2E6-4266-A270-9096CA426AD1}"/>
    <hyperlink ref="O80" r:id="rId70" xr:uid="{BF481188-8E57-473B-99EC-DAB081C5E1CD}"/>
    <hyperlink ref="O81" r:id="rId71" xr:uid="{FECFCB6C-8B3E-47A0-A5FA-12722EAE9E33}"/>
    <hyperlink ref="O82" r:id="rId72" xr:uid="{09E9CA0F-F032-4018-AA32-0D98EF8EE210}"/>
    <hyperlink ref="O83" r:id="rId73" xr:uid="{AF083996-4F7D-49B9-8910-20E1B5537BA4}"/>
    <hyperlink ref="O84" r:id="rId74" xr:uid="{2D860743-9070-4948-A1BA-096DBFB36566}"/>
    <hyperlink ref="O85" r:id="rId75" xr:uid="{1BED0A6A-F5C9-44A3-A05B-113B4AF1EDC9}"/>
    <hyperlink ref="O86" r:id="rId76" xr:uid="{B78083B7-7245-459B-9129-29C0A885C1C4}"/>
    <hyperlink ref="O87" r:id="rId77" xr:uid="{4ECD4725-98C4-4079-864A-0BEAE5E3089B}"/>
    <hyperlink ref="O88" r:id="rId78" xr:uid="{12B35ABB-B2B3-4ED5-AAD4-C89017E180B1}"/>
    <hyperlink ref="O89" r:id="rId79" xr:uid="{DE7F8874-B973-4433-AF69-D5BCC861EB6C}"/>
    <hyperlink ref="O90" r:id="rId80" xr:uid="{B8C7E753-9D4D-4F06-ABE4-02CFF152B8E2}"/>
    <hyperlink ref="O91" r:id="rId81" xr:uid="{C641249B-1D23-4561-945B-A699CE4CDB42}"/>
    <hyperlink ref="O92" r:id="rId82" xr:uid="{E626D7C0-9F69-4CDB-A7C2-E322796D327C}"/>
    <hyperlink ref="O93" r:id="rId83" xr:uid="{83F3C96D-263F-4464-9694-BF69FED9D183}"/>
    <hyperlink ref="O94" r:id="rId84" xr:uid="{2D5B10C6-8A2D-4B0A-AD9A-6B808137E192}"/>
    <hyperlink ref="O95" r:id="rId85" xr:uid="{7518B413-7921-4DD1-8132-9A030528BA9A}"/>
    <hyperlink ref="O96" r:id="rId86" xr:uid="{0E3AE07D-7E6C-496F-9561-854A400C9B9B}"/>
    <hyperlink ref="O97" r:id="rId87" xr:uid="{E423B37A-5AEF-47CC-9A19-CA0EF2DC61EF}"/>
    <hyperlink ref="O98" r:id="rId88" xr:uid="{A10A50B6-67CF-477B-88E1-A98A24A621C5}"/>
    <hyperlink ref="O99" r:id="rId89" xr:uid="{B316E536-0E6E-4E9F-BB67-BE4911F000EC}"/>
    <hyperlink ref="O100" r:id="rId90" xr:uid="{2202626F-2E5D-4FAF-A515-C652E607E6C2}"/>
    <hyperlink ref="O101" r:id="rId91" xr:uid="{92EA76A4-F022-4760-8D63-422F08033837}"/>
    <hyperlink ref="O102" r:id="rId92" xr:uid="{E660F3B1-83B5-4CE9-9464-BDC19BDF7FC3}"/>
    <hyperlink ref="O103" r:id="rId93" xr:uid="{52622933-AEAE-463C-9BC4-715592DEBF98}"/>
    <hyperlink ref="O104" r:id="rId94" xr:uid="{D83CF567-A0B8-4F30-871F-B82BEAEA466B}"/>
    <hyperlink ref="O105" r:id="rId95" xr:uid="{E15C8421-371B-4E8C-9F02-E71EB09D12EA}"/>
    <hyperlink ref="O106" r:id="rId96" xr:uid="{ED31BD83-1C2D-411D-85A3-364898608A9E}"/>
    <hyperlink ref="O107" r:id="rId97" xr:uid="{1FFFBB1C-AC67-4CF7-BBD9-EC857E336EBE}"/>
    <hyperlink ref="O108" r:id="rId98" xr:uid="{85079753-7AE4-4DD5-A0D2-3394DE1A0784}"/>
    <hyperlink ref="O109" r:id="rId99" xr:uid="{AFC60000-1ABC-48D4-B4BA-29BE9F26615F}"/>
    <hyperlink ref="O110" r:id="rId100" xr:uid="{D542E19F-854F-4227-B610-0A68F5071322}"/>
    <hyperlink ref="O111" r:id="rId101" xr:uid="{832B7E62-1E5F-45D3-BD57-53AACCC30145}"/>
    <hyperlink ref="O112" r:id="rId102" xr:uid="{92ECF03E-7747-484A-A08B-C15F9C0FC7DB}"/>
    <hyperlink ref="O113" r:id="rId103" xr:uid="{7145A37C-BB94-42CD-AE9B-3E75990076B5}"/>
    <hyperlink ref="O114" r:id="rId104" xr:uid="{323809CB-1352-4CBB-9462-E89EACEEE082}"/>
    <hyperlink ref="O115" r:id="rId105" xr:uid="{EEA5533E-593A-46A0-9E3F-992037D72466}"/>
    <hyperlink ref="O116" r:id="rId106" xr:uid="{467E8BAA-0863-4F0F-B2F7-E490A98EF311}"/>
    <hyperlink ref="O117" r:id="rId107" xr:uid="{D0DE63D7-BF67-48A5-974D-7E66E830E2B4}"/>
    <hyperlink ref="A3" r:id="rId108" display="https://gec.jp/jcm/about/" xr:uid="{4729B479-2D9A-45A7-9B74-B14D3377675F}"/>
  </hyperlinks>
  <pageMargins left="0.7" right="0.7" top="0.75" bottom="0.75" header="0.3" footer="0.3"/>
  <pageSetup paperSize="9" orientation="portrait" r:id="rId109"/>
  <tableParts count="1">
    <tablePart r:id="rId110"/>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11DC0-B196-48FC-962E-7080C3254B69}">
  <dimension ref="A1:J178"/>
  <sheetViews>
    <sheetView showGridLines="0" zoomScaleNormal="100" workbookViewId="0">
      <pane ySplit="2" topLeftCell="A3" activePane="bottomLeft" state="frozen"/>
      <selection pane="bottomLeft" activeCell="A63" sqref="A3:A63"/>
    </sheetView>
  </sheetViews>
  <sheetFormatPr defaultColWidth="8.81640625" defaultRowHeight="14.5" outlineLevelCol="1" x14ac:dyDescent="0.25"/>
  <cols>
    <col min="1" max="1" width="111.26953125" style="89" bestFit="1" customWidth="1"/>
    <col min="2" max="2" width="22.7265625" style="91" customWidth="1"/>
    <col min="3" max="4" width="22.7265625" style="91" customWidth="1" outlineLevel="1"/>
    <col min="5" max="5" width="26.453125" style="91" customWidth="1"/>
    <col min="6" max="6" width="11.7265625" style="89" customWidth="1"/>
    <col min="7" max="7" width="46.26953125" style="89" customWidth="1"/>
    <col min="8" max="16384" width="8.81640625" style="89"/>
  </cols>
  <sheetData>
    <row r="1" spans="1:10" x14ac:dyDescent="0.25">
      <c r="A1" s="85" t="s">
        <v>803</v>
      </c>
      <c r="B1" s="86"/>
      <c r="C1" s="86"/>
      <c r="D1" s="86"/>
      <c r="E1" s="86"/>
      <c r="F1" s="86"/>
      <c r="G1" s="86"/>
      <c r="H1" s="86"/>
      <c r="I1" s="86"/>
      <c r="J1" s="86"/>
    </row>
    <row r="2" spans="1:10" x14ac:dyDescent="0.25">
      <c r="A2" s="87" t="s">
        <v>804</v>
      </c>
      <c r="B2" s="88" t="s">
        <v>805</v>
      </c>
      <c r="C2" s="88" t="s">
        <v>4</v>
      </c>
      <c r="D2" s="88" t="s">
        <v>5</v>
      </c>
      <c r="E2" s="88" t="s">
        <v>806</v>
      </c>
      <c r="F2" s="87" t="s">
        <v>807</v>
      </c>
      <c r="G2" s="87" t="s">
        <v>808</v>
      </c>
    </row>
    <row r="3" spans="1:10" x14ac:dyDescent="0.25">
      <c r="A3" s="91" t="s">
        <v>809</v>
      </c>
      <c r="B3" s="91" t="s">
        <v>55</v>
      </c>
      <c r="C3" s="91" t="str">
        <f>VLOOKUP(BAs[[#This Row],[Host Country]],Country_Mapping[],COLUMN(Country_Mapping[[#Headers],[Region]]),0)</f>
        <v>Africa</v>
      </c>
      <c r="D3" s="91" t="str">
        <f>VLOOKUP(BAs[[#This Row],[Host Country]],Country_Mapping[],COLUMN(Country_Mapping[[#Headers],[Sub-region]]),0)</f>
        <v>Western Africa</v>
      </c>
      <c r="E3" s="91" t="s">
        <v>810</v>
      </c>
      <c r="F3" s="89">
        <v>44880</v>
      </c>
      <c r="G3" s="92" t="s">
        <v>811</v>
      </c>
    </row>
    <row r="4" spans="1:10" x14ac:dyDescent="0.25">
      <c r="A4" s="91" t="s">
        <v>812</v>
      </c>
      <c r="B4" s="91" t="s">
        <v>813</v>
      </c>
      <c r="C4" s="91" t="str">
        <f>VLOOKUP(BAs[[#This Row],[Host Country]],Country_Mapping[],COLUMN(Country_Mapping[[#Headers],[Region]]),0)</f>
        <v>Oceania</v>
      </c>
      <c r="D4" s="91" t="str">
        <f>VLOOKUP(BAs[[#This Row],[Host Country]],Country_Mapping[],COLUMN(Country_Mapping[[#Headers],[Sub-region]]),0)</f>
        <v>Melanesia</v>
      </c>
      <c r="E4" s="91" t="s">
        <v>810</v>
      </c>
      <c r="F4" s="89">
        <v>44879</v>
      </c>
      <c r="G4" s="92" t="s">
        <v>814</v>
      </c>
    </row>
    <row r="5" spans="1:10" x14ac:dyDescent="0.25">
      <c r="A5" s="91" t="s">
        <v>815</v>
      </c>
      <c r="B5" s="91" t="s">
        <v>69</v>
      </c>
      <c r="C5" s="91" t="str">
        <f>VLOOKUP(BAs[[#This Row],[Host Country]],Country_Mapping[],COLUMN(Country_Mapping[[#Headers],[Region]]),0)</f>
        <v>Americas</v>
      </c>
      <c r="D5" s="91" t="str">
        <f>VLOOKUP(BAs[[#This Row],[Host Country]],Country_Mapping[],COLUMN(Country_Mapping[[#Headers],[Sub-region]]),0)</f>
        <v>South America</v>
      </c>
      <c r="E5" s="91" t="s">
        <v>810</v>
      </c>
      <c r="F5" s="89">
        <v>44883</v>
      </c>
      <c r="G5" s="92" t="s">
        <v>816</v>
      </c>
    </row>
    <row r="6" spans="1:10" x14ac:dyDescent="0.25">
      <c r="A6" s="91" t="s">
        <v>817</v>
      </c>
      <c r="B6" s="91" t="s">
        <v>466</v>
      </c>
      <c r="C6" s="91" t="str">
        <f>VLOOKUP(BAs[[#This Row],[Host Country]],Country_Mapping[],COLUMN(Country_Mapping[[#Headers],[Region]]),0)</f>
        <v>Asia</v>
      </c>
      <c r="D6" s="91" t="str">
        <f>VLOOKUP(BAs[[#This Row],[Host Country]],Country_Mapping[],COLUMN(Country_Mapping[[#Headers],[Sub-region]]),0)</f>
        <v>Eastern Asia</v>
      </c>
      <c r="E6" s="91" t="s">
        <v>810</v>
      </c>
      <c r="F6" s="89">
        <v>45086</v>
      </c>
      <c r="G6" s="92" t="s">
        <v>818</v>
      </c>
    </row>
    <row r="7" spans="1:10" x14ac:dyDescent="0.25">
      <c r="A7" s="91" t="s">
        <v>819</v>
      </c>
      <c r="B7" s="91" t="s">
        <v>820</v>
      </c>
      <c r="C7" s="91" t="str">
        <f>VLOOKUP(BAs[[#This Row],[Host Country]],Country_Mapping[],COLUMN(Country_Mapping[[#Headers],[Region]]),0)</f>
        <v>Americas</v>
      </c>
      <c r="D7" s="91" t="str">
        <f>VLOOKUP(BAs[[#This Row],[Host Country]],Country_Mapping[],COLUMN(Country_Mapping[[#Headers],[Sub-region]]),0)</f>
        <v>South America</v>
      </c>
      <c r="E7" s="91" t="s">
        <v>810</v>
      </c>
      <c r="F7" s="89">
        <v>44776</v>
      </c>
      <c r="G7" s="92" t="s">
        <v>821</v>
      </c>
    </row>
    <row r="8" spans="1:10" x14ac:dyDescent="0.25">
      <c r="A8" s="91" t="s">
        <v>822</v>
      </c>
      <c r="B8" s="91" t="s">
        <v>80</v>
      </c>
      <c r="C8" s="91" t="str">
        <f>VLOOKUP(BAs[[#This Row],[Host Country]],Country_Mapping[],COLUMN(Country_Mapping[[#Headers],[Region]]),0)</f>
        <v>Africa</v>
      </c>
      <c r="D8" s="91" t="str">
        <f>VLOOKUP(BAs[[#This Row],[Host Country]],Country_Mapping[],COLUMN(Country_Mapping[[#Headers],[Sub-region]]),0)</f>
        <v>Northern Africa</v>
      </c>
      <c r="E8" s="91" t="s">
        <v>810</v>
      </c>
      <c r="F8" s="89">
        <v>44746</v>
      </c>
      <c r="G8" s="92" t="s">
        <v>823</v>
      </c>
    </row>
    <row r="9" spans="1:10" x14ac:dyDescent="0.25">
      <c r="A9" s="91" t="s">
        <v>824</v>
      </c>
      <c r="B9" s="91" t="s">
        <v>180</v>
      </c>
      <c r="C9" s="91" t="str">
        <f>VLOOKUP(BAs[[#This Row],[Host Country]],Country_Mapping[],COLUMN(Country_Mapping[[#Headers],[Region]]),0)</f>
        <v>Asia</v>
      </c>
      <c r="D9" s="91" t="str">
        <f>VLOOKUP(BAs[[#This Row],[Host Country]],Country_Mapping[],COLUMN(Country_Mapping[[#Headers],[Sub-region]]),0)</f>
        <v>Southeast Asia</v>
      </c>
      <c r="E9" s="91" t="s">
        <v>810</v>
      </c>
      <c r="F9" s="89">
        <v>44851</v>
      </c>
      <c r="G9" s="92" t="s">
        <v>825</v>
      </c>
    </row>
    <row r="10" spans="1:10" x14ac:dyDescent="0.25">
      <c r="A10" s="91" t="s">
        <v>826</v>
      </c>
      <c r="B10" s="91" t="s">
        <v>466</v>
      </c>
      <c r="C10" s="91" t="str">
        <f>VLOOKUP(BAs[[#This Row],[Host Country]],Country_Mapping[],COLUMN(Country_Mapping[[#Headers],[Region]]),0)</f>
        <v>Asia</v>
      </c>
      <c r="D10" s="91" t="str">
        <f>VLOOKUP(BAs[[#This Row],[Host Country]],Country_Mapping[],COLUMN(Country_Mapping[[#Headers],[Sub-region]]),0)</f>
        <v>Eastern Asia</v>
      </c>
      <c r="E10" s="91" t="s">
        <v>827</v>
      </c>
      <c r="F10" s="89">
        <v>44690</v>
      </c>
      <c r="G10" s="92" t="s">
        <v>828</v>
      </c>
    </row>
    <row r="11" spans="1:10" x14ac:dyDescent="0.25">
      <c r="A11" s="91" t="s">
        <v>829</v>
      </c>
      <c r="B11" s="91" t="s">
        <v>180</v>
      </c>
      <c r="C11" s="91" t="str">
        <f>VLOOKUP(BAs[[#This Row],[Host Country]],Country_Mapping[],COLUMN(Country_Mapping[[#Headers],[Region]]),0)</f>
        <v>Asia</v>
      </c>
      <c r="D11" s="91" t="str">
        <f>VLOOKUP(BAs[[#This Row],[Host Country]],Country_Mapping[],COLUMN(Country_Mapping[[#Headers],[Sub-region]]),0)</f>
        <v>Southeast Asia</v>
      </c>
      <c r="E11" s="91" t="s">
        <v>827</v>
      </c>
      <c r="F11" s="89">
        <v>44347</v>
      </c>
      <c r="G11" s="92" t="s">
        <v>830</v>
      </c>
    </row>
    <row r="12" spans="1:10" x14ac:dyDescent="0.25">
      <c r="A12" s="91" t="s">
        <v>831</v>
      </c>
      <c r="B12" s="91" t="s">
        <v>832</v>
      </c>
      <c r="C12" s="91" t="str">
        <f>VLOOKUP(BAs[[#This Row],[Host Country]],Country_Mapping[],COLUMN(Country_Mapping[[#Headers],[Region]]),0)</f>
        <v>Africa</v>
      </c>
      <c r="D12" s="91" t="str">
        <f>VLOOKUP(BAs[[#This Row],[Host Country]],Country_Mapping[],COLUMN(Country_Mapping[[#Headers],[Sub-region]]),0)</f>
        <v>Middle Africa</v>
      </c>
      <c r="E12" s="91" t="s">
        <v>827</v>
      </c>
      <c r="F12" s="89">
        <v>44873</v>
      </c>
      <c r="G12" s="92" t="s">
        <v>833</v>
      </c>
    </row>
    <row r="13" spans="1:10" x14ac:dyDescent="0.25">
      <c r="A13" s="91" t="s">
        <v>834</v>
      </c>
      <c r="B13" s="91" t="s">
        <v>959</v>
      </c>
      <c r="C13" s="91" t="str">
        <f>VLOOKUP(BAs[[#This Row],[Host Country]],Country_Mapping[],COLUMN(Country_Mapping[[#Headers],[Region]]),0)</f>
        <v>Asia</v>
      </c>
      <c r="D13" s="91" t="str">
        <f>VLOOKUP(BAs[[#This Row],[Host Country]],Country_Mapping[],COLUMN(Country_Mapping[[#Headers],[Sub-region]]),0)</f>
        <v>Southeast Asia</v>
      </c>
      <c r="E13" s="91" t="s">
        <v>827</v>
      </c>
      <c r="F13" s="89">
        <v>45121</v>
      </c>
      <c r="G13" s="92" t="s">
        <v>836</v>
      </c>
    </row>
    <row r="14" spans="1:10" x14ac:dyDescent="0.25">
      <c r="A14" s="91" t="s">
        <v>837</v>
      </c>
      <c r="B14" s="91" t="s">
        <v>69</v>
      </c>
      <c r="C14" s="91" t="str">
        <f>VLOOKUP(BAs[[#This Row],[Host Country]],Country_Mapping[],COLUMN(Country_Mapping[[#Headers],[Region]]),0)</f>
        <v>Americas</v>
      </c>
      <c r="D14" s="91" t="str">
        <f>VLOOKUP(BAs[[#This Row],[Host Country]],Country_Mapping[],COLUMN(Country_Mapping[[#Headers],[Sub-region]]),0)</f>
        <v>South America</v>
      </c>
      <c r="E14" s="91" t="s">
        <v>27</v>
      </c>
      <c r="F14" s="89">
        <v>44124</v>
      </c>
      <c r="G14" s="92" t="s">
        <v>838</v>
      </c>
    </row>
    <row r="15" spans="1:10" x14ac:dyDescent="0.25">
      <c r="A15" s="91" t="s">
        <v>839</v>
      </c>
      <c r="B15" s="91" t="s">
        <v>55</v>
      </c>
      <c r="C15" s="91" t="str">
        <f>VLOOKUP(BAs[[#This Row],[Host Country]],Country_Mapping[],COLUMN(Country_Mapping[[#Headers],[Region]]),0)</f>
        <v>Africa</v>
      </c>
      <c r="D15" s="91" t="str">
        <f>VLOOKUP(BAs[[#This Row],[Host Country]],Country_Mapping[],COLUMN(Country_Mapping[[#Headers],[Sub-region]]),0)</f>
        <v>Western Africa</v>
      </c>
      <c r="E15" s="91" t="s">
        <v>27</v>
      </c>
      <c r="F15" s="89">
        <v>44524</v>
      </c>
      <c r="G15" s="92" t="s">
        <v>840</v>
      </c>
    </row>
    <row r="16" spans="1:10" x14ac:dyDescent="0.25">
      <c r="A16" s="91" t="s">
        <v>841</v>
      </c>
      <c r="B16" s="91" t="s">
        <v>33</v>
      </c>
      <c r="C16" s="91" t="str">
        <f>VLOOKUP(BAs[[#This Row],[Host Country]],Country_Mapping[],COLUMN(Country_Mapping[[#Headers],[Region]]),0)</f>
        <v>Africa</v>
      </c>
      <c r="D16" s="91" t="str">
        <f>VLOOKUP(BAs[[#This Row],[Host Country]],Country_Mapping[],COLUMN(Country_Mapping[[#Headers],[Sub-region]]),0)</f>
        <v>Western Africa</v>
      </c>
      <c r="E16" s="91" t="s">
        <v>27</v>
      </c>
      <c r="F16" s="89">
        <v>44383</v>
      </c>
      <c r="G16" s="92" t="s">
        <v>842</v>
      </c>
    </row>
    <row r="17" spans="1:7" x14ac:dyDescent="0.25">
      <c r="A17" s="91" t="s">
        <v>843</v>
      </c>
      <c r="B17" s="91" t="s">
        <v>150</v>
      </c>
      <c r="C17" s="91" t="str">
        <f>VLOOKUP(BAs[[#This Row],[Host Country]],Country_Mapping[],COLUMN(Country_Mapping[[#Headers],[Region]]),0)</f>
        <v>Asia</v>
      </c>
      <c r="D17" s="91" t="str">
        <f>VLOOKUP(BAs[[#This Row],[Host Country]],Country_Mapping[],COLUMN(Country_Mapping[[#Headers],[Sub-region]]),0)</f>
        <v>Western Asia</v>
      </c>
      <c r="E17" s="91" t="s">
        <v>27</v>
      </c>
      <c r="F17" s="89">
        <v>44487</v>
      </c>
      <c r="G17" s="93" t="s">
        <v>844</v>
      </c>
    </row>
    <row r="18" spans="1:7" x14ac:dyDescent="0.25">
      <c r="A18" s="91" t="s">
        <v>845</v>
      </c>
      <c r="B18" s="91" t="s">
        <v>164</v>
      </c>
      <c r="C18" s="91" t="str">
        <f>VLOOKUP(BAs[[#This Row],[Host Country]],Country_Mapping[],COLUMN(Country_Mapping[[#Headers],[Region]]),0)</f>
        <v>Oceania</v>
      </c>
      <c r="D18" s="91" t="str">
        <f>VLOOKUP(BAs[[#This Row],[Host Country]],Country_Mapping[],COLUMN(Country_Mapping[[#Headers],[Sub-region]]),0)</f>
        <v>Melanesia</v>
      </c>
      <c r="E18" s="91" t="s">
        <v>27</v>
      </c>
      <c r="F18" s="89">
        <v>44511</v>
      </c>
      <c r="G18" s="93" t="s">
        <v>846</v>
      </c>
    </row>
    <row r="19" spans="1:7" x14ac:dyDescent="0.25">
      <c r="A19" s="91" t="s">
        <v>847</v>
      </c>
      <c r="B19" s="91" t="s">
        <v>99</v>
      </c>
      <c r="C19" s="91" t="str">
        <f>VLOOKUP(BAs[[#This Row],[Host Country]],Country_Mapping[],COLUMN(Country_Mapping[[#Headers],[Region]]),0)</f>
        <v>Americas</v>
      </c>
      <c r="D19" s="91" t="str">
        <f>VLOOKUP(BAs[[#This Row],[Host Country]],Country_Mapping[],COLUMN(Country_Mapping[[#Headers],[Sub-region]]),0)</f>
        <v>Caribbean</v>
      </c>
      <c r="E19" s="91" t="s">
        <v>27</v>
      </c>
      <c r="F19" s="89">
        <v>44511</v>
      </c>
      <c r="G19" s="93" t="s">
        <v>848</v>
      </c>
    </row>
    <row r="20" spans="1:7" x14ac:dyDescent="0.25">
      <c r="A20" s="91" t="s">
        <v>849</v>
      </c>
      <c r="B20" s="91" t="s">
        <v>20</v>
      </c>
      <c r="C20" s="91" t="str">
        <f>VLOOKUP(BAs[[#This Row],[Host Country]],Country_Mapping[],COLUMN(Country_Mapping[[#Headers],[Region]]),0)</f>
        <v>Asia</v>
      </c>
      <c r="D20" s="91" t="str">
        <f>VLOOKUP(BAs[[#This Row],[Host Country]],Country_Mapping[],COLUMN(Country_Mapping[[#Headers],[Sub-region]]),0)</f>
        <v>Southeast Asia</v>
      </c>
      <c r="E20" s="91" t="s">
        <v>27</v>
      </c>
      <c r="F20" s="89">
        <v>44736</v>
      </c>
      <c r="G20" s="93" t="s">
        <v>850</v>
      </c>
    </row>
    <row r="21" spans="1:7" x14ac:dyDescent="0.25">
      <c r="A21" s="91" t="s">
        <v>851</v>
      </c>
      <c r="B21" s="91" t="s">
        <v>852</v>
      </c>
      <c r="C21" s="91" t="str">
        <f>VLOOKUP(BAs[[#This Row],[Host Country]],Country_Mapping[],COLUMN(Country_Mapping[[#Headers],[Region]]),0)</f>
        <v>Europe</v>
      </c>
      <c r="D21" s="91" t="str">
        <f>VLOOKUP(BAs[[#This Row],[Host Country]],Country_Mapping[],COLUMN(Country_Mapping[[#Headers],[Sub-region]]),0)</f>
        <v>Eastern Europe</v>
      </c>
      <c r="E21" s="91" t="s">
        <v>27</v>
      </c>
      <c r="F21" s="89">
        <v>44746</v>
      </c>
      <c r="G21" s="93" t="s">
        <v>853</v>
      </c>
    </row>
    <row r="22" spans="1:7" x14ac:dyDescent="0.25">
      <c r="A22" s="91" t="s">
        <v>854</v>
      </c>
      <c r="B22" s="91" t="s">
        <v>80</v>
      </c>
      <c r="C22" s="91" t="str">
        <f>VLOOKUP(BAs[[#This Row],[Host Country]],Country_Mapping[],COLUMN(Country_Mapping[[#Headers],[Region]]),0)</f>
        <v>Africa</v>
      </c>
      <c r="D22" s="91" t="str">
        <f>VLOOKUP(BAs[[#This Row],[Host Country]],Country_Mapping[],COLUMN(Country_Mapping[[#Headers],[Sub-region]]),0)</f>
        <v>Northern Africa</v>
      </c>
      <c r="E22" s="91" t="s">
        <v>27</v>
      </c>
      <c r="F22" s="89">
        <v>44872</v>
      </c>
      <c r="G22" s="93" t="s">
        <v>855</v>
      </c>
    </row>
    <row r="23" spans="1:7" x14ac:dyDescent="0.25">
      <c r="A23" s="91" t="s">
        <v>856</v>
      </c>
      <c r="B23" s="91" t="s">
        <v>92</v>
      </c>
      <c r="C23" s="91" t="str">
        <f>VLOOKUP(BAs[[#This Row],[Host Country]],Country_Mapping[],COLUMN(Country_Mapping[[#Headers],[Region]]),0)</f>
        <v>Africa</v>
      </c>
      <c r="D23" s="91" t="str">
        <f>VLOOKUP(BAs[[#This Row],[Host Country]],Country_Mapping[],COLUMN(Country_Mapping[[#Headers],[Sub-region]]),0)</f>
        <v>Eastern Africa</v>
      </c>
      <c r="E23" s="91" t="s">
        <v>27</v>
      </c>
      <c r="F23" s="89">
        <v>44881</v>
      </c>
      <c r="G23" s="93" t="s">
        <v>857</v>
      </c>
    </row>
    <row r="24" spans="1:7" x14ac:dyDescent="0.25">
      <c r="A24" s="91" t="s">
        <v>858</v>
      </c>
      <c r="B24" s="91" t="s">
        <v>859</v>
      </c>
      <c r="C24" s="91" t="str">
        <f>VLOOKUP(BAs[[#This Row],[Host Country]],Country_Mapping[],COLUMN(Country_Mapping[[#Headers],[Region]]),0)</f>
        <v>Americas</v>
      </c>
      <c r="D24" s="91" t="str">
        <f>VLOOKUP(BAs[[#This Row],[Host Country]],Country_Mapping[],COLUMN(Country_Mapping[[#Headers],[Sub-region]]),0)</f>
        <v>South America</v>
      </c>
      <c r="E24" s="91" t="s">
        <v>27</v>
      </c>
      <c r="F24" s="89">
        <v>44907</v>
      </c>
      <c r="G24" s="92" t="s">
        <v>860</v>
      </c>
    </row>
    <row r="25" spans="1:7" x14ac:dyDescent="0.25">
      <c r="A25" s="91" t="s">
        <v>861</v>
      </c>
      <c r="B25" s="91" t="s">
        <v>756</v>
      </c>
      <c r="C25" s="91" t="str">
        <f>VLOOKUP(BAs[[#This Row],[Host Country]],Country_Mapping[],COLUMN(Country_Mapping[[#Headers],[Region]]),0)</f>
        <v>Americas</v>
      </c>
      <c r="D25" s="91" t="str">
        <f>VLOOKUP(BAs[[#This Row],[Host Country]],Country_Mapping[],COLUMN(Country_Mapping[[#Headers],[Sub-region]]),0)</f>
        <v>South America</v>
      </c>
      <c r="E25" s="91" t="s">
        <v>27</v>
      </c>
      <c r="F25" s="89">
        <v>44623</v>
      </c>
      <c r="G25" s="93" t="s">
        <v>862</v>
      </c>
    </row>
    <row r="26" spans="1:7" x14ac:dyDescent="0.25">
      <c r="A26" s="91" t="s">
        <v>863</v>
      </c>
      <c r="B26" s="91" t="s">
        <v>466</v>
      </c>
      <c r="C26" s="91" t="str">
        <f>VLOOKUP(BAs[[#This Row],[Host Country]],Country_Mapping[],COLUMN(Country_Mapping[[#Headers],[Region]]),0)</f>
        <v>Asia</v>
      </c>
      <c r="D26" s="91" t="str">
        <f>VLOOKUP(BAs[[#This Row],[Host Country]],Country_Mapping[],COLUMN(Country_Mapping[[#Headers],[Sub-region]]),0)</f>
        <v>Eastern Asia</v>
      </c>
      <c r="E26" s="91" t="s">
        <v>187</v>
      </c>
      <c r="F26" s="89">
        <v>41282</v>
      </c>
      <c r="G26" s="92" t="s">
        <v>864</v>
      </c>
    </row>
    <row r="27" spans="1:7" x14ac:dyDescent="0.25">
      <c r="A27" s="91" t="s">
        <v>865</v>
      </c>
      <c r="B27" s="91" t="s">
        <v>782</v>
      </c>
      <c r="C27" s="91" t="str">
        <f>VLOOKUP(BAs[[#This Row],[Host Country]],Country_Mapping[],COLUMN(Country_Mapping[[#Headers],[Region]]),0)</f>
        <v>Asia</v>
      </c>
      <c r="D27" s="91" t="str">
        <f>VLOOKUP(BAs[[#This Row],[Host Country]],Country_Mapping[],COLUMN(Country_Mapping[[#Headers],[Sub-region]]),0)</f>
        <v>Southern Asia</v>
      </c>
      <c r="E27" s="91" t="s">
        <v>187</v>
      </c>
      <c r="F27" s="89">
        <v>41352</v>
      </c>
      <c r="G27" s="92" t="s">
        <v>866</v>
      </c>
    </row>
    <row r="28" spans="1:7" x14ac:dyDescent="0.25">
      <c r="A28" s="91" t="s">
        <v>867</v>
      </c>
      <c r="B28" s="91" t="s">
        <v>868</v>
      </c>
      <c r="C28" s="91" t="str">
        <f>VLOOKUP(BAs[[#This Row],[Host Country]],Country_Mapping[],COLUMN(Country_Mapping[[#Headers],[Region]]),0)</f>
        <v>Africa</v>
      </c>
      <c r="D28" s="91" t="str">
        <f>VLOOKUP(BAs[[#This Row],[Host Country]],Country_Mapping[],COLUMN(Country_Mapping[[#Headers],[Sub-region]]),0)</f>
        <v>Eastern Africa</v>
      </c>
      <c r="E28" s="91" t="s">
        <v>187</v>
      </c>
      <c r="F28" s="89">
        <v>41421</v>
      </c>
      <c r="G28" s="92" t="s">
        <v>869</v>
      </c>
    </row>
    <row r="29" spans="1:7" x14ac:dyDescent="0.25">
      <c r="A29" s="91" t="s">
        <v>870</v>
      </c>
      <c r="B29" s="91" t="s">
        <v>565</v>
      </c>
      <c r="C29" s="91" t="str">
        <f>VLOOKUP(BAs[[#This Row],[Host Country]],Country_Mapping[],COLUMN(Country_Mapping[[#Headers],[Region]]),0)</f>
        <v>Africa</v>
      </c>
      <c r="D29" s="91" t="str">
        <f>VLOOKUP(BAs[[#This Row],[Host Country]],Country_Mapping[],COLUMN(Country_Mapping[[#Headers],[Sub-region]]),0)</f>
        <v>Eastern Africa</v>
      </c>
      <c r="E29" s="91" t="s">
        <v>187</v>
      </c>
      <c r="F29" s="89">
        <v>41437</v>
      </c>
      <c r="G29" s="92" t="s">
        <v>871</v>
      </c>
    </row>
    <row r="30" spans="1:7" x14ac:dyDescent="0.25">
      <c r="A30" s="91" t="s">
        <v>872</v>
      </c>
      <c r="B30" s="91" t="s">
        <v>454</v>
      </c>
      <c r="C30" s="91" t="str">
        <f>VLOOKUP(BAs[[#This Row],[Host Country]],Country_Mapping[],COLUMN(Country_Mapping[[#Headers],[Region]]),0)</f>
        <v>Asia</v>
      </c>
      <c r="D30" s="91" t="str">
        <f>VLOOKUP(BAs[[#This Row],[Host Country]],Country_Mapping[],COLUMN(Country_Mapping[[#Headers],[Sub-region]]),0)</f>
        <v>Southern Asia</v>
      </c>
      <c r="E30" s="91" t="s">
        <v>187</v>
      </c>
      <c r="F30" s="89">
        <v>41454</v>
      </c>
      <c r="G30" s="92" t="s">
        <v>873</v>
      </c>
    </row>
    <row r="31" spans="1:7" x14ac:dyDescent="0.25">
      <c r="A31" s="91" t="s">
        <v>874</v>
      </c>
      <c r="B31" s="91" t="s">
        <v>180</v>
      </c>
      <c r="C31" s="91" t="str">
        <f>VLOOKUP(BAs[[#This Row],[Host Country]],Country_Mapping[],COLUMN(Country_Mapping[[#Headers],[Region]]),0)</f>
        <v>Asia</v>
      </c>
      <c r="D31" s="91" t="str">
        <f>VLOOKUP(BAs[[#This Row],[Host Country]],Country_Mapping[],COLUMN(Country_Mapping[[#Headers],[Sub-region]]),0)</f>
        <v>Southeast Asia</v>
      </c>
      <c r="E31" s="91" t="s">
        <v>187</v>
      </c>
      <c r="F31" s="89">
        <v>41457</v>
      </c>
      <c r="G31" s="92" t="s">
        <v>875</v>
      </c>
    </row>
    <row r="32" spans="1:7" x14ac:dyDescent="0.25">
      <c r="A32" s="91" t="s">
        <v>876</v>
      </c>
      <c r="B32" s="91" t="s">
        <v>959</v>
      </c>
      <c r="C32" s="91" t="str">
        <f>VLOOKUP(BAs[[#This Row],[Host Country]],Country_Mapping[],COLUMN(Country_Mapping[[#Headers],[Region]]),0)</f>
        <v>Asia</v>
      </c>
      <c r="D32" s="91" t="str">
        <f>VLOOKUP(BAs[[#This Row],[Host Country]],Country_Mapping[],COLUMN(Country_Mapping[[#Headers],[Sub-region]]),0)</f>
        <v>Southeast Asia</v>
      </c>
      <c r="E32" s="91" t="s">
        <v>187</v>
      </c>
      <c r="F32" s="89">
        <v>41493</v>
      </c>
      <c r="G32" s="92" t="s">
        <v>877</v>
      </c>
    </row>
    <row r="33" spans="1:7" x14ac:dyDescent="0.25">
      <c r="A33" s="91" t="s">
        <v>878</v>
      </c>
      <c r="B33" s="91" t="s">
        <v>579</v>
      </c>
      <c r="C33" s="91" t="str">
        <f>VLOOKUP(BAs[[#This Row],[Host Country]],Country_Mapping[],COLUMN(Country_Mapping[[#Headers],[Region]]),0)</f>
        <v>Asia</v>
      </c>
      <c r="D33" s="91" t="str">
        <f>VLOOKUP(BAs[[#This Row],[Host Country]],Country_Mapping[],COLUMN(Country_Mapping[[#Headers],[Sub-region]]),0)</f>
        <v>Southeast Asia</v>
      </c>
      <c r="E33" s="91" t="s">
        <v>187</v>
      </c>
      <c r="F33" s="89">
        <v>41512</v>
      </c>
      <c r="G33" s="92" t="s">
        <v>879</v>
      </c>
    </row>
    <row r="34" spans="1:7" x14ac:dyDescent="0.25">
      <c r="A34" s="91" t="s">
        <v>880</v>
      </c>
      <c r="B34" s="91" t="s">
        <v>771</v>
      </c>
      <c r="C34" s="91" t="str">
        <f>VLOOKUP(BAs[[#This Row],[Host Country]],Country_Mapping[],COLUMN(Country_Mapping[[#Headers],[Region]]),0)</f>
        <v>Americas</v>
      </c>
      <c r="D34" s="91" t="str">
        <f>VLOOKUP(BAs[[#This Row],[Host Country]],Country_Mapping[],COLUMN(Country_Mapping[[#Headers],[Sub-region]]),0)</f>
        <v>Central America</v>
      </c>
      <c r="E34" s="91" t="s">
        <v>187</v>
      </c>
      <c r="F34" s="89">
        <v>41617</v>
      </c>
      <c r="G34" s="92" t="s">
        <v>881</v>
      </c>
    </row>
    <row r="35" spans="1:7" x14ac:dyDescent="0.25">
      <c r="A35" s="91" t="s">
        <v>882</v>
      </c>
      <c r="B35" s="91" t="s">
        <v>410</v>
      </c>
      <c r="C35" s="91" t="str">
        <f>VLOOKUP(BAs[[#This Row],[Host Country]],Country_Mapping[],COLUMN(Country_Mapping[[#Headers],[Region]]),0)</f>
        <v>Oceania</v>
      </c>
      <c r="D35" s="91" t="str">
        <f>VLOOKUP(BAs[[#This Row],[Host Country]],Country_Mapping[],COLUMN(Country_Mapping[[#Headers],[Sub-region]]),0)</f>
        <v>Micronesia</v>
      </c>
      <c r="E35" s="91" t="s">
        <v>187</v>
      </c>
      <c r="F35" s="89">
        <v>41652</v>
      </c>
      <c r="G35" s="92" t="s">
        <v>883</v>
      </c>
    </row>
    <row r="36" spans="1:7" x14ac:dyDescent="0.25">
      <c r="A36" s="90" t="s">
        <v>884</v>
      </c>
      <c r="B36" s="90" t="s">
        <v>532</v>
      </c>
      <c r="C36" s="91" t="str">
        <f>VLOOKUP(BAs[[#This Row],[Host Country]],Country_Mapping[],COLUMN(Country_Mapping[[#Headers],[Region]]),0)</f>
        <v>Asia</v>
      </c>
      <c r="D36" s="91" t="str">
        <f>VLOOKUP(BAs[[#This Row],[Host Country]],Country_Mapping[],COLUMN(Country_Mapping[[#Headers],[Sub-region]]),0)</f>
        <v>Southeast Asia</v>
      </c>
      <c r="E36" s="90" t="s">
        <v>187</v>
      </c>
      <c r="F36" s="89">
        <v>41740</v>
      </c>
      <c r="G36" s="92" t="s">
        <v>885</v>
      </c>
    </row>
    <row r="37" spans="1:7" x14ac:dyDescent="0.25">
      <c r="A37" s="90" t="s">
        <v>886</v>
      </c>
      <c r="B37" s="90" t="s">
        <v>887</v>
      </c>
      <c r="C37" s="91" t="str">
        <f>VLOOKUP(BAs[[#This Row],[Host Country]],Country_Mapping[],COLUMN(Country_Mapping[[#Headers],[Region]]),0)</f>
        <v>Americas</v>
      </c>
      <c r="D37" s="91" t="str">
        <f>VLOOKUP(BAs[[#This Row],[Host Country]],Country_Mapping[],COLUMN(Country_Mapping[[#Headers],[Sub-region]]),0)</f>
        <v>Central America</v>
      </c>
      <c r="E37" s="90" t="s">
        <v>187</v>
      </c>
      <c r="F37" s="89">
        <v>41846</v>
      </c>
      <c r="G37" s="92" t="s">
        <v>888</v>
      </c>
    </row>
    <row r="38" spans="1:7" x14ac:dyDescent="0.25">
      <c r="A38" s="90" t="s">
        <v>889</v>
      </c>
      <c r="B38" s="90" t="s">
        <v>403</v>
      </c>
      <c r="C38" s="91" t="str">
        <f>VLOOKUP(BAs[[#This Row],[Host Country]],Country_Mapping[],COLUMN(Country_Mapping[[#Headers],[Region]]),0)</f>
        <v>Asia</v>
      </c>
      <c r="D38" s="91" t="str">
        <f>VLOOKUP(BAs[[#This Row],[Host Country]],Country_Mapping[],COLUMN(Country_Mapping[[#Headers],[Sub-region]]),0)</f>
        <v>Western Asia</v>
      </c>
      <c r="E38" s="90" t="s">
        <v>187</v>
      </c>
      <c r="F38" s="89">
        <v>42137</v>
      </c>
      <c r="G38" s="92" t="s">
        <v>890</v>
      </c>
    </row>
    <row r="39" spans="1:7" x14ac:dyDescent="0.25">
      <c r="A39" s="90" t="s">
        <v>891</v>
      </c>
      <c r="B39" s="90" t="s">
        <v>756</v>
      </c>
      <c r="C39" s="91" t="str">
        <f>VLOOKUP(BAs[[#This Row],[Host Country]],Country_Mapping[],COLUMN(Country_Mapping[[#Headers],[Region]]),0)</f>
        <v>Americas</v>
      </c>
      <c r="D39" s="91" t="str">
        <f>VLOOKUP(BAs[[#This Row],[Host Country]],Country_Mapping[],COLUMN(Country_Mapping[[#Headers],[Sub-region]]),0)</f>
        <v>South America</v>
      </c>
      <c r="E39" s="90" t="s">
        <v>187</v>
      </c>
      <c r="F39" s="89">
        <v>42150</v>
      </c>
      <c r="G39" s="92" t="s">
        <v>892</v>
      </c>
    </row>
    <row r="40" spans="1:7" x14ac:dyDescent="0.25">
      <c r="A40" s="90" t="s">
        <v>893</v>
      </c>
      <c r="B40" s="90" t="s">
        <v>496</v>
      </c>
      <c r="C40" s="91" t="str">
        <f>VLOOKUP(BAs[[#This Row],[Host Country]],Country_Mapping[],COLUMN(Country_Mapping[[#Headers],[Region]]),0)</f>
        <v>Asia</v>
      </c>
      <c r="D40" s="91" t="str">
        <f>VLOOKUP(BAs[[#This Row],[Host Country]],Country_Mapping[],COLUMN(Country_Mapping[[#Headers],[Sub-region]]),0)</f>
        <v>Southeast Asia</v>
      </c>
      <c r="E40" s="90" t="s">
        <v>187</v>
      </c>
      <c r="F40" s="89">
        <v>42263</v>
      </c>
      <c r="G40" s="92" t="s">
        <v>894</v>
      </c>
    </row>
    <row r="41" spans="1:7" x14ac:dyDescent="0.25">
      <c r="A41" s="90" t="s">
        <v>895</v>
      </c>
      <c r="B41" s="90" t="s">
        <v>20</v>
      </c>
      <c r="C41" s="91" t="str">
        <f>VLOOKUP(BAs[[#This Row],[Host Country]],Country_Mapping[],COLUMN(Country_Mapping[[#Headers],[Region]]),0)</f>
        <v>Asia</v>
      </c>
      <c r="D41" s="91" t="str">
        <f>VLOOKUP(BAs[[#This Row],[Host Country]],Country_Mapping[],COLUMN(Country_Mapping[[#Headers],[Sub-region]]),0)</f>
        <v>Southeast Asia</v>
      </c>
      <c r="E41" s="90" t="s">
        <v>187</v>
      </c>
      <c r="F41" s="89">
        <v>42327</v>
      </c>
      <c r="G41" s="92" t="s">
        <v>896</v>
      </c>
    </row>
    <row r="42" spans="1:7" x14ac:dyDescent="0.25">
      <c r="A42" s="90" t="s">
        <v>897</v>
      </c>
      <c r="B42" s="90" t="s">
        <v>434</v>
      </c>
      <c r="C42" s="91" t="str">
        <f>VLOOKUP(BAs[[#This Row],[Host Country]],Country_Mapping[],COLUMN(Country_Mapping[[#Headers],[Region]]),0)</f>
        <v>Asia</v>
      </c>
      <c r="D42" s="91" t="str">
        <f>VLOOKUP(BAs[[#This Row],[Host Country]],Country_Mapping[],COLUMN(Country_Mapping[[#Headers],[Sub-region]]),0)</f>
        <v>Southeast Asia</v>
      </c>
      <c r="E42" s="90" t="s">
        <v>187</v>
      </c>
      <c r="F42" s="89">
        <v>42747</v>
      </c>
      <c r="G42" s="92" t="s">
        <v>898</v>
      </c>
    </row>
    <row r="43" spans="1:7" x14ac:dyDescent="0.25">
      <c r="A43" s="90" t="s">
        <v>899</v>
      </c>
      <c r="B43" s="90" t="s">
        <v>33</v>
      </c>
      <c r="C43" s="91" t="str">
        <f>VLOOKUP(BAs[[#This Row],[Host Country]],Country_Mapping[],COLUMN(Country_Mapping[[#Headers],[Region]]),0)</f>
        <v>Africa</v>
      </c>
      <c r="D43" s="91" t="str">
        <f>VLOOKUP(BAs[[#This Row],[Host Country]],Country_Mapping[],COLUMN(Country_Mapping[[#Headers],[Sub-region]]),0)</f>
        <v>Western Africa</v>
      </c>
      <c r="E43" s="90" t="s">
        <v>187</v>
      </c>
      <c r="F43" s="89">
        <v>44798</v>
      </c>
      <c r="G43" s="92" t="s">
        <v>900</v>
      </c>
    </row>
    <row r="44" spans="1:7" x14ac:dyDescent="0.25">
      <c r="A44" s="90" t="s">
        <v>901</v>
      </c>
      <c r="B44" s="90" t="s">
        <v>902</v>
      </c>
      <c r="C44" s="91" t="str">
        <f>VLOOKUP(BAs[[#This Row],[Host Country]],Country_Mapping[],COLUMN(Country_Mapping[[#Headers],[Region]]),0)</f>
        <v>Africa</v>
      </c>
      <c r="D44" s="91" t="str">
        <f>VLOOKUP(BAs[[#This Row],[Host Country]],Country_Mapping[],COLUMN(Country_Mapping[[#Headers],[Sub-region]]),0)</f>
        <v>Northern Africa</v>
      </c>
      <c r="E44" s="90" t="s">
        <v>187</v>
      </c>
      <c r="F44" s="89">
        <v>44799</v>
      </c>
      <c r="G44" s="92" t="s">
        <v>903</v>
      </c>
    </row>
    <row r="45" spans="1:7" x14ac:dyDescent="0.25">
      <c r="A45" s="90" t="s">
        <v>904</v>
      </c>
      <c r="B45" s="90" t="s">
        <v>905</v>
      </c>
      <c r="C45" s="91" t="str">
        <f>VLOOKUP(BAs[[#This Row],[Host Country]],Country_Mapping[],COLUMN(Country_Mapping[[#Headers],[Region]]),0)</f>
        <v>Asia</v>
      </c>
      <c r="D45" s="91" t="str">
        <f>VLOOKUP(BAs[[#This Row],[Host Country]],Country_Mapping[],COLUMN(Country_Mapping[[#Headers],[Sub-region]]),0)</f>
        <v>Western Asia</v>
      </c>
      <c r="E45" s="90" t="s">
        <v>187</v>
      </c>
      <c r="F45" s="89">
        <v>44809</v>
      </c>
      <c r="G45" s="92" t="s">
        <v>906</v>
      </c>
    </row>
    <row r="46" spans="1:7" x14ac:dyDescent="0.25">
      <c r="A46" s="90" t="s">
        <v>907</v>
      </c>
      <c r="B46" s="90" t="s">
        <v>908</v>
      </c>
      <c r="C46" s="91" t="str">
        <f>VLOOKUP(BAs[[#This Row],[Host Country]],Country_Mapping[],COLUMN(Country_Mapping[[#Headers],[Region]]),0)</f>
        <v>Asia</v>
      </c>
      <c r="D46" s="91" t="str">
        <f>VLOOKUP(BAs[[#This Row],[Host Country]],Country_Mapping[],COLUMN(Country_Mapping[[#Headers],[Sub-region]]),0)</f>
        <v>Central Asia</v>
      </c>
      <c r="E46" s="90" t="s">
        <v>187</v>
      </c>
      <c r="F46" s="89">
        <v>44859</v>
      </c>
      <c r="G46" s="92" t="s">
        <v>909</v>
      </c>
    </row>
    <row r="47" spans="1:7" x14ac:dyDescent="0.25">
      <c r="A47" s="90" t="s">
        <v>910</v>
      </c>
      <c r="B47" s="90" t="s">
        <v>911</v>
      </c>
      <c r="C47" s="91" t="str">
        <f>VLOOKUP(BAs[[#This Row],[Host Country]],Country_Mapping[],COLUMN(Country_Mapping[[#Headers],[Region]]),0)</f>
        <v>Europe</v>
      </c>
      <c r="D47" s="91" t="str">
        <f>VLOOKUP(BAs[[#This Row],[Host Country]],Country_Mapping[],COLUMN(Country_Mapping[[#Headers],[Sub-region]]),0)</f>
        <v>Eastern Europe</v>
      </c>
      <c r="E47" s="90" t="s">
        <v>187</v>
      </c>
      <c r="F47" s="89">
        <v>44810</v>
      </c>
      <c r="G47" s="92" t="s">
        <v>912</v>
      </c>
    </row>
    <row r="48" spans="1:7" x14ac:dyDescent="0.25">
      <c r="A48" s="91" t="s">
        <v>913</v>
      </c>
      <c r="B48" s="91" t="s">
        <v>150</v>
      </c>
      <c r="C48" s="91" t="str">
        <f>VLOOKUP(BAs[[#This Row],[Host Country]],Country_Mapping[],COLUMN(Country_Mapping[[#Headers],[Region]]),0)</f>
        <v>Asia</v>
      </c>
      <c r="D48" s="91" t="str">
        <f>VLOOKUP(BAs[[#This Row],[Host Country]],Country_Mapping[],COLUMN(Country_Mapping[[#Headers],[Sub-region]]),0)</f>
        <v>Western Asia</v>
      </c>
      <c r="E48" s="91" t="s">
        <v>187</v>
      </c>
      <c r="F48" s="89">
        <v>44817</v>
      </c>
      <c r="G48" s="92" t="s">
        <v>914</v>
      </c>
    </row>
    <row r="49" spans="1:7" x14ac:dyDescent="0.25">
      <c r="A49" s="91" t="s">
        <v>915</v>
      </c>
      <c r="B49" s="91" t="s">
        <v>916</v>
      </c>
      <c r="C49" s="91" t="str">
        <f>VLOOKUP(BAs[[#This Row],[Host Country]],Country_Mapping[],COLUMN(Country_Mapping[[#Headers],[Region]]),0)</f>
        <v>Asia</v>
      </c>
      <c r="D49" s="91" t="str">
        <f>VLOOKUP(BAs[[#This Row],[Host Country]],Country_Mapping[],COLUMN(Country_Mapping[[#Headers],[Sub-region]]),0)</f>
        <v>Southern Asia</v>
      </c>
      <c r="E49" s="91" t="s">
        <v>187</v>
      </c>
      <c r="F49" s="89">
        <v>44845</v>
      </c>
      <c r="G49" s="92" t="s">
        <v>917</v>
      </c>
    </row>
    <row r="50" spans="1:7" x14ac:dyDescent="0.25">
      <c r="A50" s="91" t="s">
        <v>918</v>
      </c>
      <c r="B50" s="91" t="s">
        <v>813</v>
      </c>
      <c r="C50" s="91" t="str">
        <f>VLOOKUP(BAs[[#This Row],[Host Country]],Country_Mapping[],COLUMN(Country_Mapping[[#Headers],[Region]]),0)</f>
        <v>Oceania</v>
      </c>
      <c r="D50" s="91" t="str">
        <f>VLOOKUP(BAs[[#This Row],[Host Country]],Country_Mapping[],COLUMN(Country_Mapping[[#Headers],[Sub-region]]),0)</f>
        <v>Melanesia</v>
      </c>
      <c r="E50" s="91" t="s">
        <v>187</v>
      </c>
      <c r="F50" s="89">
        <v>44883</v>
      </c>
      <c r="G50" s="92" t="s">
        <v>919</v>
      </c>
    </row>
    <row r="51" spans="1:7" x14ac:dyDescent="0.25">
      <c r="A51" s="91" t="s">
        <v>920</v>
      </c>
      <c r="B51" s="91" t="s">
        <v>921</v>
      </c>
      <c r="C51" s="91" t="str">
        <f>VLOOKUP(BAs[[#This Row],[Host Country]],Country_Mapping[],COLUMN(Country_Mapping[[#Headers],[Region]]),0)</f>
        <v>Asia</v>
      </c>
      <c r="D51" s="91" t="str">
        <f>VLOOKUP(BAs[[#This Row],[Host Country]],Country_Mapping[],COLUMN(Country_Mapping[[#Headers],[Sub-region]]),0)</f>
        <v>Western Asia</v>
      </c>
      <c r="E51" s="91" t="s">
        <v>187</v>
      </c>
      <c r="F51" s="89">
        <v>45032</v>
      </c>
      <c r="G51" s="92" t="s">
        <v>922</v>
      </c>
    </row>
    <row r="52" spans="1:7" x14ac:dyDescent="0.25">
      <c r="A52" s="91" t="s">
        <v>923</v>
      </c>
      <c r="B52" s="91" t="s">
        <v>924</v>
      </c>
      <c r="C52" s="91" t="str">
        <f>VLOOKUP(BAs[[#This Row],[Host Country]],Country_Mapping[],COLUMN(Country_Mapping[[#Headers],[Region]]),0)</f>
        <v>Asia</v>
      </c>
      <c r="D52" s="91" t="str">
        <f>VLOOKUP(BAs[[#This Row],[Host Country]],Country_Mapping[],COLUMN(Country_Mapping[[#Headers],[Sub-region]]),0)</f>
        <v>Southern Asia</v>
      </c>
      <c r="E52" s="91" t="s">
        <v>925</v>
      </c>
      <c r="F52" s="89">
        <v>44713</v>
      </c>
      <c r="G52" s="92" t="s">
        <v>926</v>
      </c>
    </row>
    <row r="53" spans="1:7" x14ac:dyDescent="0.25">
      <c r="A53" s="91" t="s">
        <v>927</v>
      </c>
      <c r="B53" s="91" t="s">
        <v>55</v>
      </c>
      <c r="C53" s="91" t="str">
        <f>VLOOKUP(BAs[[#This Row],[Host Country]],Country_Mapping[],COLUMN(Country_Mapping[[#Headers],[Region]]),0)</f>
        <v>Africa</v>
      </c>
      <c r="D53" s="91" t="str">
        <f>VLOOKUP(BAs[[#This Row],[Host Country]],Country_Mapping[],COLUMN(Country_Mapping[[#Headers],[Sub-region]]),0)</f>
        <v>Western Africa</v>
      </c>
      <c r="E53" s="91" t="s">
        <v>925</v>
      </c>
      <c r="F53" s="89">
        <v>44509</v>
      </c>
      <c r="G53" s="92" t="s">
        <v>928</v>
      </c>
    </row>
    <row r="54" spans="1:7" x14ac:dyDescent="0.25">
      <c r="A54" s="91" t="s">
        <v>929</v>
      </c>
      <c r="B54" s="91" t="s">
        <v>930</v>
      </c>
      <c r="C54" s="91" t="str">
        <f>VLOOKUP(BAs[[#This Row],[Host Country]],Country_Mapping[],COLUMN(Country_Mapping[[#Headers],[Region]]),0)</f>
        <v>Americas</v>
      </c>
      <c r="D54" s="91" t="str">
        <f>VLOOKUP(BAs[[#This Row],[Host Country]],Country_Mapping[],COLUMN(Country_Mapping[[#Headers],[Sub-region]]),0)</f>
        <v>Caribbean</v>
      </c>
      <c r="E54" s="91" t="s">
        <v>925</v>
      </c>
      <c r="F54" s="89">
        <v>44715</v>
      </c>
      <c r="G54" s="92" t="s">
        <v>931</v>
      </c>
    </row>
    <row r="55" spans="1:7" x14ac:dyDescent="0.25">
      <c r="A55" s="89" t="s">
        <v>932</v>
      </c>
      <c r="B55" s="91" t="s">
        <v>20</v>
      </c>
      <c r="C55" s="91" t="str">
        <f>VLOOKUP(BAs[[#This Row],[Host Country]],Country_Mapping[],COLUMN(Country_Mapping[[#Headers],[Region]]),0)</f>
        <v>Asia</v>
      </c>
      <c r="D55" s="91" t="str">
        <f>VLOOKUP(BAs[[#This Row],[Host Country]],Country_Mapping[],COLUMN(Country_Mapping[[#Headers],[Sub-region]]),0)</f>
        <v>Southeast Asia</v>
      </c>
      <c r="E55" s="91" t="s">
        <v>810</v>
      </c>
      <c r="F55" s="89" t="e">
        <f>#REF!</f>
        <v>#REF!</v>
      </c>
      <c r="G55" s="92" t="s">
        <v>933</v>
      </c>
    </row>
    <row r="56" spans="1:7" x14ac:dyDescent="0.25">
      <c r="A56" s="89" t="s">
        <v>934</v>
      </c>
      <c r="B56" s="91" t="s">
        <v>532</v>
      </c>
      <c r="C56" s="91" t="str">
        <f>VLOOKUP(BAs[[#This Row],[Host Country]],Country_Mapping[],COLUMN(Country_Mapping[[#Headers],[Region]]),0)</f>
        <v>Asia</v>
      </c>
      <c r="D56" s="91" t="str">
        <f>VLOOKUP(BAs[[#This Row],[Host Country]],Country_Mapping[],COLUMN(Country_Mapping[[#Headers],[Sub-region]]),0)</f>
        <v>Southeast Asia</v>
      </c>
      <c r="E56" s="91" t="s">
        <v>810</v>
      </c>
      <c r="F56" s="89">
        <v>45017</v>
      </c>
      <c r="G56" s="92" t="s">
        <v>935</v>
      </c>
    </row>
    <row r="57" spans="1:7" x14ac:dyDescent="0.25">
      <c r="A57" s="89" t="s">
        <v>936</v>
      </c>
      <c r="B57" s="91" t="s">
        <v>937</v>
      </c>
      <c r="C57" s="91" t="str">
        <f>VLOOKUP(BAs[[#This Row],[Host Country]],Country_Mapping[],COLUMN(Country_Mapping[[#Headers],[Region]]),0)</f>
        <v>Asia</v>
      </c>
      <c r="D57" s="91" t="str">
        <f>VLOOKUP(BAs[[#This Row],[Host Country]],Country_Mapping[],COLUMN(Country_Mapping[[#Headers],[Sub-region]]),0)</f>
        <v>Southern Asia</v>
      </c>
      <c r="E57" s="91" t="s">
        <v>810</v>
      </c>
      <c r="F57" s="89" t="e">
        <f>#REF!</f>
        <v>#REF!</v>
      </c>
      <c r="G57" s="92" t="s">
        <v>938</v>
      </c>
    </row>
    <row r="58" spans="1:7" x14ac:dyDescent="0.25">
      <c r="A58" s="89" t="s">
        <v>939</v>
      </c>
      <c r="B58" s="91" t="s">
        <v>565</v>
      </c>
      <c r="C58" s="91" t="str">
        <f>VLOOKUP(BAs[[#This Row],[Host Country]],Country_Mapping[],COLUMN(Country_Mapping[[#Headers],[Region]]),0)</f>
        <v>Africa</v>
      </c>
      <c r="D58" s="91" t="str">
        <f>VLOOKUP(BAs[[#This Row],[Host Country]],Country_Mapping[],COLUMN(Country_Mapping[[#Headers],[Sub-region]]),0)</f>
        <v>Eastern Africa</v>
      </c>
      <c r="E58" s="91" t="s">
        <v>810</v>
      </c>
      <c r="F58" s="89" t="e">
        <f>#REF!</f>
        <v>#REF!</v>
      </c>
      <c r="G58" s="92" t="s">
        <v>940</v>
      </c>
    </row>
    <row r="59" spans="1:7" x14ac:dyDescent="0.25">
      <c r="A59" s="89" t="s">
        <v>941</v>
      </c>
      <c r="B59" s="91" t="s">
        <v>55</v>
      </c>
      <c r="C59" s="91" t="str">
        <f>VLOOKUP(BAs[[#This Row],[Host Country]],Country_Mapping[],COLUMN(Country_Mapping[[#Headers],[Region]]),0)</f>
        <v>Africa</v>
      </c>
      <c r="D59" s="91" t="str">
        <f>VLOOKUP(BAs[[#This Row],[Host Country]],Country_Mapping[],COLUMN(Country_Mapping[[#Headers],[Sub-region]]),0)</f>
        <v>Western Africa</v>
      </c>
      <c r="E59" s="91" t="s">
        <v>827</v>
      </c>
      <c r="F59" s="89">
        <v>45078</v>
      </c>
      <c r="G59" s="92" t="s">
        <v>942</v>
      </c>
    </row>
    <row r="60" spans="1:7" x14ac:dyDescent="0.25">
      <c r="A60" s="89" t="s">
        <v>943</v>
      </c>
      <c r="B60" s="94" t="s">
        <v>944</v>
      </c>
      <c r="C60" s="91" t="str">
        <f>VLOOKUP(BAs[[#This Row],[Host Country]],Country_Mapping[],COLUMN(Country_Mapping[[#Headers],[Region]]),0)</f>
        <v>Oceania</v>
      </c>
      <c r="D60" s="91" t="str">
        <f>VLOOKUP(BAs[[#This Row],[Host Country]],Country_Mapping[],COLUMN(Country_Mapping[[#Headers],[Sub-region]]),0)</f>
        <v>Melanesia</v>
      </c>
      <c r="E60" s="91" t="s">
        <v>945</v>
      </c>
      <c r="F60" s="89">
        <v>44501</v>
      </c>
      <c r="G60" s="95" t="s">
        <v>946</v>
      </c>
    </row>
    <row r="61" spans="1:7" x14ac:dyDescent="0.25">
      <c r="A61" s="89" t="s">
        <v>943</v>
      </c>
      <c r="B61" s="94" t="s">
        <v>813</v>
      </c>
      <c r="C61" s="91" t="str">
        <f>VLOOKUP(BAs[[#This Row],[Host Country]],Country_Mapping[],COLUMN(Country_Mapping[[#Headers],[Region]]),0)</f>
        <v>Oceania</v>
      </c>
      <c r="D61" s="91" t="str">
        <f>VLOOKUP(BAs[[#This Row],[Host Country]],Country_Mapping[],COLUMN(Country_Mapping[[#Headers],[Sub-region]]),0)</f>
        <v>Melanesia</v>
      </c>
      <c r="E61" s="91" t="s">
        <v>945</v>
      </c>
      <c r="F61" s="89">
        <v>44501</v>
      </c>
      <c r="G61" s="95" t="s">
        <v>946</v>
      </c>
    </row>
    <row r="62" spans="1:7" x14ac:dyDescent="0.25">
      <c r="A62" s="89" t="s">
        <v>947</v>
      </c>
      <c r="B62" s="94" t="s">
        <v>930</v>
      </c>
      <c r="C62" s="91" t="str">
        <f>VLOOKUP(BAs[[#This Row],[Host Country]],Country_Mapping[],COLUMN(Country_Mapping[[#Headers],[Region]]),0)</f>
        <v>Americas</v>
      </c>
      <c r="D62" s="91" t="str">
        <f>VLOOKUP(BAs[[#This Row],[Host Country]],Country_Mapping[],COLUMN(Country_Mapping[[#Headers],[Sub-region]]),0)</f>
        <v>Caribbean</v>
      </c>
      <c r="E62" s="91" t="s">
        <v>810</v>
      </c>
      <c r="F62" s="89">
        <v>45104</v>
      </c>
      <c r="G62" s="95" t="s">
        <v>948</v>
      </c>
    </row>
    <row r="63" spans="1:7" x14ac:dyDescent="0.25">
      <c r="A63" s="89" t="s">
        <v>949</v>
      </c>
      <c r="B63" s="94" t="s">
        <v>579</v>
      </c>
      <c r="C63" s="91" t="str">
        <f>VLOOKUP(BAs[[#This Row],[Host Country]],Country_Mapping[],COLUMN(Country_Mapping[[#Headers],[Region]]),0)</f>
        <v>Asia</v>
      </c>
      <c r="D63" s="91" t="str">
        <f>VLOOKUP(BAs[[#This Row],[Host Country]],Country_Mapping[],COLUMN(Country_Mapping[[#Headers],[Sub-region]]),0)</f>
        <v>Southeast Asia</v>
      </c>
      <c r="E63" s="91" t="s">
        <v>810</v>
      </c>
      <c r="F63" s="89">
        <v>44621</v>
      </c>
      <c r="G63" s="95" t="s">
        <v>950</v>
      </c>
    </row>
    <row r="96" spans="2:4" x14ac:dyDescent="0.25">
      <c r="B96" s="94"/>
      <c r="C96" s="94"/>
      <c r="D96" s="94"/>
    </row>
    <row r="97" spans="2:4" x14ac:dyDescent="0.25">
      <c r="B97" s="94"/>
      <c r="C97" s="94"/>
      <c r="D97" s="94"/>
    </row>
    <row r="98" spans="2:4" x14ac:dyDescent="0.25">
      <c r="B98" s="94"/>
      <c r="C98" s="94"/>
      <c r="D98" s="94"/>
    </row>
    <row r="99" spans="2:4" x14ac:dyDescent="0.25">
      <c r="B99" s="94"/>
      <c r="C99" s="94"/>
      <c r="D99" s="94"/>
    </row>
    <row r="100" spans="2:4" x14ac:dyDescent="0.25">
      <c r="B100" s="94"/>
      <c r="C100" s="94"/>
      <c r="D100" s="94"/>
    </row>
    <row r="101" spans="2:4" x14ac:dyDescent="0.25">
      <c r="B101" s="94"/>
      <c r="C101" s="94"/>
      <c r="D101" s="94"/>
    </row>
    <row r="102" spans="2:4" x14ac:dyDescent="0.25">
      <c r="B102" s="94"/>
      <c r="C102" s="94"/>
      <c r="D102" s="94"/>
    </row>
    <row r="103" spans="2:4" x14ac:dyDescent="0.25">
      <c r="B103" s="94"/>
      <c r="C103" s="94"/>
      <c r="D103" s="94"/>
    </row>
    <row r="106" spans="2:4" x14ac:dyDescent="0.25">
      <c r="B106" s="94"/>
      <c r="C106" s="94"/>
      <c r="D106" s="94"/>
    </row>
    <row r="107" spans="2:4" x14ac:dyDescent="0.25">
      <c r="B107" s="94"/>
      <c r="C107" s="94"/>
      <c r="D107" s="94"/>
    </row>
    <row r="108" spans="2:4" x14ac:dyDescent="0.25">
      <c r="B108" s="94"/>
      <c r="C108" s="94"/>
      <c r="D108" s="94"/>
    </row>
    <row r="110" spans="2:4" x14ac:dyDescent="0.25">
      <c r="B110" s="94"/>
      <c r="C110" s="94"/>
      <c r="D110" s="94"/>
    </row>
    <row r="111" spans="2:4" x14ac:dyDescent="0.25">
      <c r="B111" s="94"/>
      <c r="C111" s="94"/>
      <c r="D111" s="94"/>
    </row>
    <row r="112" spans="2:4" x14ac:dyDescent="0.25">
      <c r="B112" s="94"/>
      <c r="C112" s="94"/>
      <c r="D112" s="94"/>
    </row>
    <row r="113" spans="2:4" x14ac:dyDescent="0.25">
      <c r="B113" s="94"/>
      <c r="C113" s="94"/>
      <c r="D113" s="94"/>
    </row>
    <row r="114" spans="2:4" x14ac:dyDescent="0.25">
      <c r="B114" s="94"/>
      <c r="C114" s="94"/>
      <c r="D114" s="94"/>
    </row>
    <row r="115" spans="2:4" x14ac:dyDescent="0.25">
      <c r="B115" s="94"/>
      <c r="C115" s="94"/>
      <c r="D115" s="94"/>
    </row>
    <row r="116" spans="2:4" x14ac:dyDescent="0.25">
      <c r="B116" s="94"/>
      <c r="C116" s="94"/>
      <c r="D116" s="94"/>
    </row>
    <row r="117" spans="2:4" x14ac:dyDescent="0.25">
      <c r="B117" s="94"/>
      <c r="C117" s="94"/>
      <c r="D117" s="94"/>
    </row>
    <row r="118" spans="2:4" x14ac:dyDescent="0.25">
      <c r="B118" s="94"/>
      <c r="C118" s="94"/>
      <c r="D118" s="94"/>
    </row>
    <row r="119" spans="2:4" x14ac:dyDescent="0.25">
      <c r="B119" s="94"/>
      <c r="C119" s="94"/>
      <c r="D119" s="94"/>
    </row>
    <row r="120" spans="2:4" x14ac:dyDescent="0.25">
      <c r="B120" s="94"/>
      <c r="C120" s="94"/>
      <c r="D120" s="94"/>
    </row>
    <row r="122" spans="2:4" x14ac:dyDescent="0.25">
      <c r="B122" s="94"/>
      <c r="C122" s="94"/>
      <c r="D122" s="94"/>
    </row>
    <row r="123" spans="2:4" x14ac:dyDescent="0.25">
      <c r="B123" s="94"/>
      <c r="C123" s="94"/>
      <c r="D123" s="94"/>
    </row>
    <row r="124" spans="2:4" x14ac:dyDescent="0.25">
      <c r="B124" s="94"/>
      <c r="C124" s="94"/>
      <c r="D124" s="94"/>
    </row>
    <row r="125" spans="2:4" x14ac:dyDescent="0.25">
      <c r="B125" s="94"/>
      <c r="C125" s="94"/>
      <c r="D125" s="94"/>
    </row>
    <row r="126" spans="2:4" x14ac:dyDescent="0.25">
      <c r="B126" s="94"/>
      <c r="C126" s="94"/>
      <c r="D126" s="94"/>
    </row>
    <row r="127" spans="2:4" x14ac:dyDescent="0.25">
      <c r="B127" s="94"/>
      <c r="C127" s="94"/>
      <c r="D127" s="94"/>
    </row>
    <row r="128" spans="2:4" x14ac:dyDescent="0.25">
      <c r="B128" s="94"/>
      <c r="C128" s="94"/>
      <c r="D128" s="94"/>
    </row>
    <row r="129" spans="2:4" x14ac:dyDescent="0.25">
      <c r="B129" s="94"/>
      <c r="C129" s="94"/>
      <c r="D129" s="94"/>
    </row>
    <row r="130" spans="2:4" x14ac:dyDescent="0.25">
      <c r="B130" s="94"/>
      <c r="C130" s="94"/>
      <c r="D130" s="94"/>
    </row>
    <row r="131" spans="2:4" x14ac:dyDescent="0.25">
      <c r="B131" s="94"/>
      <c r="C131" s="94"/>
      <c r="D131" s="94"/>
    </row>
    <row r="132" spans="2:4" x14ac:dyDescent="0.25">
      <c r="B132" s="94"/>
      <c r="C132" s="94"/>
      <c r="D132" s="94"/>
    </row>
    <row r="133" spans="2:4" x14ac:dyDescent="0.25">
      <c r="B133" s="94"/>
      <c r="C133" s="94"/>
      <c r="D133" s="94"/>
    </row>
    <row r="134" spans="2:4" x14ac:dyDescent="0.25">
      <c r="B134" s="94"/>
      <c r="C134" s="94"/>
      <c r="D134" s="94"/>
    </row>
    <row r="135" spans="2:4" x14ac:dyDescent="0.25">
      <c r="B135" s="94"/>
      <c r="C135" s="94"/>
      <c r="D135" s="94"/>
    </row>
    <row r="136" spans="2:4" x14ac:dyDescent="0.25">
      <c r="B136" s="94"/>
      <c r="C136" s="94"/>
      <c r="D136" s="94"/>
    </row>
    <row r="137" spans="2:4" x14ac:dyDescent="0.25">
      <c r="B137" s="94"/>
      <c r="C137" s="94"/>
      <c r="D137" s="94"/>
    </row>
    <row r="140" spans="2:4" x14ac:dyDescent="0.25">
      <c r="B140" s="94"/>
      <c r="C140" s="94"/>
      <c r="D140" s="94"/>
    </row>
    <row r="141" spans="2:4" x14ac:dyDescent="0.25">
      <c r="B141" s="94"/>
      <c r="C141" s="94"/>
      <c r="D141" s="94"/>
    </row>
    <row r="142" spans="2:4" x14ac:dyDescent="0.25">
      <c r="B142" s="94"/>
      <c r="C142" s="94"/>
      <c r="D142" s="94"/>
    </row>
    <row r="143" spans="2:4" x14ac:dyDescent="0.25">
      <c r="B143" s="94"/>
      <c r="C143" s="94"/>
      <c r="D143" s="94"/>
    </row>
    <row r="145" spans="2:4" x14ac:dyDescent="0.25">
      <c r="B145" s="94"/>
      <c r="C145" s="94"/>
      <c r="D145" s="94"/>
    </row>
    <row r="146" spans="2:4" x14ac:dyDescent="0.25">
      <c r="B146" s="94"/>
      <c r="C146" s="94"/>
      <c r="D146" s="94"/>
    </row>
    <row r="148" spans="2:4" x14ac:dyDescent="0.25">
      <c r="B148" s="94"/>
      <c r="C148" s="94"/>
      <c r="D148" s="94"/>
    </row>
    <row r="149" spans="2:4" x14ac:dyDescent="0.25">
      <c r="B149" s="94"/>
      <c r="C149" s="94"/>
      <c r="D149" s="94"/>
    </row>
    <row r="150" spans="2:4" x14ac:dyDescent="0.25">
      <c r="B150" s="94"/>
      <c r="C150" s="94"/>
      <c r="D150" s="94"/>
    </row>
    <row r="151" spans="2:4" x14ac:dyDescent="0.25">
      <c r="B151" s="94"/>
      <c r="C151" s="94"/>
      <c r="D151" s="94"/>
    </row>
    <row r="152" spans="2:4" x14ac:dyDescent="0.25">
      <c r="B152" s="94"/>
      <c r="C152" s="94"/>
      <c r="D152" s="94"/>
    </row>
    <row r="154" spans="2:4" x14ac:dyDescent="0.25">
      <c r="B154" s="94"/>
      <c r="C154" s="94"/>
      <c r="D154" s="94"/>
    </row>
    <row r="155" spans="2:4" x14ac:dyDescent="0.25">
      <c r="B155" s="94"/>
      <c r="C155" s="94"/>
      <c r="D155" s="94"/>
    </row>
    <row r="156" spans="2:4" x14ac:dyDescent="0.25">
      <c r="B156" s="94"/>
      <c r="C156" s="94"/>
      <c r="D156" s="94"/>
    </row>
    <row r="157" spans="2:4" x14ac:dyDescent="0.25">
      <c r="B157" s="94"/>
      <c r="C157" s="94"/>
      <c r="D157" s="94"/>
    </row>
    <row r="158" spans="2:4" x14ac:dyDescent="0.25">
      <c r="B158" s="94"/>
      <c r="C158" s="94"/>
      <c r="D158" s="94"/>
    </row>
    <row r="159" spans="2:4" x14ac:dyDescent="0.25">
      <c r="B159" s="94"/>
      <c r="C159" s="94"/>
      <c r="D159" s="94"/>
    </row>
    <row r="160" spans="2:4" x14ac:dyDescent="0.25">
      <c r="B160" s="94"/>
      <c r="C160" s="94"/>
      <c r="D160" s="94"/>
    </row>
    <row r="162" spans="2:4" x14ac:dyDescent="0.25">
      <c r="B162" s="94"/>
      <c r="C162" s="94"/>
      <c r="D162" s="94"/>
    </row>
    <row r="163" spans="2:4" x14ac:dyDescent="0.25">
      <c r="B163" s="94"/>
      <c r="C163" s="94"/>
      <c r="D163" s="94"/>
    </row>
    <row r="164" spans="2:4" x14ac:dyDescent="0.25">
      <c r="B164" s="94"/>
      <c r="C164" s="94"/>
      <c r="D164" s="94"/>
    </row>
    <row r="165" spans="2:4" x14ac:dyDescent="0.25">
      <c r="B165" s="94"/>
      <c r="C165" s="94"/>
      <c r="D165" s="94"/>
    </row>
    <row r="166" spans="2:4" x14ac:dyDescent="0.25">
      <c r="B166" s="94"/>
      <c r="C166" s="94"/>
      <c r="D166" s="94"/>
    </row>
    <row r="167" spans="2:4" x14ac:dyDescent="0.25">
      <c r="B167" s="94"/>
      <c r="C167" s="94"/>
      <c r="D167" s="94"/>
    </row>
    <row r="168" spans="2:4" x14ac:dyDescent="0.25">
      <c r="B168" s="94"/>
      <c r="C168" s="94"/>
      <c r="D168" s="94"/>
    </row>
    <row r="169" spans="2:4" x14ac:dyDescent="0.25">
      <c r="B169" s="94"/>
      <c r="C169" s="94"/>
      <c r="D169" s="94"/>
    </row>
    <row r="170" spans="2:4" x14ac:dyDescent="0.25">
      <c r="B170" s="94"/>
      <c r="C170" s="94"/>
      <c r="D170" s="94"/>
    </row>
    <row r="171" spans="2:4" x14ac:dyDescent="0.25">
      <c r="B171" s="94"/>
      <c r="C171" s="94"/>
      <c r="D171" s="94"/>
    </row>
    <row r="172" spans="2:4" x14ac:dyDescent="0.25">
      <c r="B172" s="94"/>
      <c r="C172" s="94"/>
      <c r="D172" s="94"/>
    </row>
    <row r="173" spans="2:4" x14ac:dyDescent="0.25">
      <c r="B173" s="94"/>
      <c r="C173" s="94"/>
      <c r="D173" s="94"/>
    </row>
    <row r="175" spans="2:4" x14ac:dyDescent="0.25">
      <c r="B175" s="94"/>
      <c r="C175" s="94"/>
      <c r="D175" s="94"/>
    </row>
    <row r="177" spans="2:4" x14ac:dyDescent="0.25">
      <c r="B177" s="94"/>
      <c r="C177" s="94"/>
      <c r="D177" s="94"/>
    </row>
    <row r="178" spans="2:4" x14ac:dyDescent="0.25">
      <c r="B178" s="94"/>
      <c r="C178" s="94"/>
      <c r="D178" s="94"/>
    </row>
  </sheetData>
  <dataValidations count="1">
    <dataValidation type="list" allowBlank="1" showInputMessage="1" showErrorMessage="1" errorTitle="Invalid Country" sqref="B3:B63 E3:E63" xr:uid="{F6FB89A2-2F9E-41F4-9AC9-7C638C39B562}">
      <formula1>Countries</formula1>
    </dataValidation>
  </dataValidations>
  <hyperlinks>
    <hyperlink ref="G3" r:id="rId1" xr:uid="{AA18F38A-A2C9-44D1-AEAC-A1E8D6F1E913}"/>
    <hyperlink ref="G4" r:id="rId2" xr:uid="{B5E9E06E-F743-47C9-B302-83ECFF4B23A6}"/>
    <hyperlink ref="G5" r:id="rId3" xr:uid="{9A10A447-F7D2-4A31-85A3-2C8079F7245C}"/>
    <hyperlink ref="G6" r:id="rId4" xr:uid="{D53A0A5B-7775-49DC-9179-EDB1D51F9184}"/>
    <hyperlink ref="G8" r:id="rId5" xr:uid="{CBB3DB8F-9729-4466-ACBD-BA10C5FCB9F6}"/>
    <hyperlink ref="G7" r:id="rId6" xr:uid="{3AFEAFDD-1DFD-4ECB-9586-59CFA49F1D9F}"/>
    <hyperlink ref="G10" r:id="rId7" xr:uid="{E563AC7A-B40F-4CB2-9A76-47725A663EC7}"/>
    <hyperlink ref="G11" r:id="rId8" xr:uid="{A18B50A3-A495-4C5D-87E8-E42B426CC2B9}"/>
    <hyperlink ref="G12" r:id="rId9" xr:uid="{AEDAA5A1-A996-43BC-BD2F-B30BC2E042B1}"/>
    <hyperlink ref="G14" r:id="rId10" xr:uid="{F4C94A58-11EF-4D35-8357-1FD14444CFE9}"/>
    <hyperlink ref="G15" r:id="rId11" xr:uid="{1B4262F7-6C39-43A5-9141-0306B71B2E58}"/>
    <hyperlink ref="G24" r:id="rId12" display="https://www.bafu.admin.ch/dam/bafu/en/dokumente/international/fachinfo-daten/durchfuehrungsabkommen-zum-uebereinkommen-von-paris-zwischen-der-schweizerischen-eidgenossenschaft-und-der-republik-oestlich-des-uruguay.pdf.download.pdf/Implementing%20Agreement%20to%20the%20Paris%20Agreement%20between%20the%20Swiss%20Confederation%20and%20the%20Oriental%20Republic%20of%20Uruguay%20-%20English.pdf" xr:uid="{56DCA7AA-D09A-48E6-A9CA-2879C0805ECB}"/>
    <hyperlink ref="G26" r:id="rId13" xr:uid="{EEF02738-CA04-42C4-A5BD-0123B4820562}"/>
    <hyperlink ref="G27" r:id="rId14" xr:uid="{2595B6EC-262F-4909-B56E-AE328F06F04C}"/>
    <hyperlink ref="G28" r:id="rId15" xr:uid="{05955EFE-21D9-4C0A-BB44-92198BF01EC5}"/>
    <hyperlink ref="G29" r:id="rId16" xr:uid="{9A4BE5BC-5B3A-4444-9B90-EF82A3E8AA06}"/>
    <hyperlink ref="G30" r:id="rId17" xr:uid="{731FEE6D-1A3C-43D0-BE98-18E02882A321}"/>
    <hyperlink ref="G31" r:id="rId18" xr:uid="{FDBFF624-5BF4-48AE-B192-0C2EA2D7436D}"/>
    <hyperlink ref="G32" r:id="rId19" xr:uid="{098335DE-1ECC-4008-9FAA-CE18355FB08B}"/>
    <hyperlink ref="G33" r:id="rId20" xr:uid="{F36974CE-FFEB-47CB-8E7C-1398748239A9}"/>
    <hyperlink ref="G34" r:id="rId21" xr:uid="{3342B28E-415E-4D39-9939-79114516F065}"/>
    <hyperlink ref="G35" r:id="rId22" xr:uid="{EE876D5B-82F9-4621-8214-432548D003A9}"/>
    <hyperlink ref="G36" r:id="rId23" xr:uid="{B066BE25-6E44-4191-939C-F58EE66F84E8}"/>
    <hyperlink ref="G37" r:id="rId24" xr:uid="{D2FA6889-F363-45B4-9E48-E3197C0FCFA3}"/>
    <hyperlink ref="G38" r:id="rId25" xr:uid="{FEF85EB8-2E92-4EEE-BB01-33762E9C73BA}"/>
    <hyperlink ref="G39" r:id="rId26" xr:uid="{4C4F517D-AF80-48C6-900A-D2854EE5AE60}"/>
    <hyperlink ref="G40" r:id="rId27" xr:uid="{0476D767-F0FC-46CE-A7BD-CC2F43EEC369}"/>
    <hyperlink ref="G41" r:id="rId28" xr:uid="{2622AA20-92CD-4082-83CD-C2859811F136}"/>
    <hyperlink ref="G42" r:id="rId29" xr:uid="{1F2A4845-C24E-4420-AEE2-A79FB5779549}"/>
    <hyperlink ref="G43" r:id="rId30" xr:uid="{626783A1-B0FC-46D1-AB8C-DA1AB412EFC6}"/>
    <hyperlink ref="G44" r:id="rId31" xr:uid="{8B4B3DEB-958C-47B3-8595-D3B27DE2873C}"/>
    <hyperlink ref="G46" r:id="rId32" xr:uid="{F941E77C-9CA2-4A18-99DA-9910622B36ED}"/>
    <hyperlink ref="G45" r:id="rId33" xr:uid="{216F465A-8459-4CC5-963A-F42BE2389FAA}"/>
    <hyperlink ref="G47" r:id="rId34" xr:uid="{2EFE47D4-5A85-436A-925A-4F6866B694C7}"/>
    <hyperlink ref="G48" r:id="rId35" xr:uid="{ECDEA256-60E8-4A83-A6E0-0530451D459A}"/>
    <hyperlink ref="G49" r:id="rId36" xr:uid="{E0521E50-6437-4455-A294-AA5130D55D52}"/>
    <hyperlink ref="G50" r:id="rId37" xr:uid="{92F08E00-E327-4211-B366-78F674EF7E9A}"/>
    <hyperlink ref="G51" r:id="rId38" xr:uid="{916AE61A-E4CA-4A0A-BC91-0AC5A04FA316}"/>
    <hyperlink ref="G52" r:id="rId39" xr:uid="{6C9A47B4-0DEB-4E94-8220-9E8DC58E7864}"/>
    <hyperlink ref="G53" r:id="rId40" xr:uid="{E5CBF3D3-0628-43AF-B142-68BD57B50CBD}"/>
    <hyperlink ref="G54" r:id="rId41" xr:uid="{1D0019F8-448B-431B-A42A-83D596BF4A11}"/>
    <hyperlink ref="G13" r:id="rId42" xr:uid="{86AF26F0-1595-4B85-9DF9-2B67A45203B4}"/>
    <hyperlink ref="G55" r:id="rId43" display="https://carbon-pulse.com/175705/" xr:uid="{3DA3F1C0-CC01-49A1-87D6-C000A7FCC99D}"/>
    <hyperlink ref="G57" r:id="rId44" display="https://www.mse.gov.sg/resource-room/category/2023-06-06-ecosperity-week-2023 " xr:uid="{DE1F1709-EB57-4CEF-9604-CEB5C5E4DBD9}"/>
    <hyperlink ref="G56" r:id="rId45" xr:uid="{29B3ACCF-540D-4671-97EA-6D38F5504D83}"/>
    <hyperlink ref="G59" r:id="rId46" xr:uid="{E073E4B3-8F89-43C9-87B8-A9EC622BB7E8}"/>
    <hyperlink ref="G60" r:id="rId47" display="https://www.dcceew.gov.au/climate-change/international-commitments/indo-pacific-region" xr:uid="{7197D4F1-9D68-413E-981F-1DE9A6654BE5}"/>
    <hyperlink ref="G61" r:id="rId48" display="https://www.dcceew.gov.au/climate-change/international-commitments/indo-pacific-region " xr:uid="{1A4BBD93-A810-4C06-823A-E3E1E2C7DF06}"/>
    <hyperlink ref="G62" r:id="rId49" xr:uid="{7A6FB8EA-2822-4F53-B280-C50FA8A49A47}"/>
    <hyperlink ref="G63" r:id="rId50" display="https://www.nccs.gov.sg/media/press-release/singapore-and-indonesia-sign-memorandum-of-understanding-cooperation-on-climate-change-and-sustainability" xr:uid="{7BAB3C42-44B6-4B0D-83CA-92AEFEC6261F}"/>
    <hyperlink ref="G19" r:id="rId51" display="https://www.bafu.admin.ch/dam/bafu/en/dokumente/international/fachinfo-daten/Implementing%20Agreement%20to%20the%20Paris%20Agreement%20between%20the%20Swiss%20Confederation%20and%20the%20Commonwealth%20of%20Dominica.pdf.download.pdf/Implementing%20Agreement%20to%20the%20Paris%20Agreement%20between%20the%20Swiss%20Confederation%20and%20the%20Commonwealth%20of%20Dominica.pdf" xr:uid="{5493F08D-2BFF-49EA-B417-CFFAD065AA81}"/>
    <hyperlink ref="G20" r:id="rId52" display="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 xr:uid="{EEBCE8D2-DCBE-43F9-B757-1C8C485BAA5D}"/>
    <hyperlink ref="G21" r:id="rId53" display="https://www.bafu.admin.ch/dam/bafu/en/dokumente/international/fachinfo-daten/Implementing%20Agreement%20to%20the%20Paris%20Agreement%20between%20the%20Swiss%20Federal%20Council%20and%20the%20Government%20of%20Ukraine.pdf.download.pdf/Implementing%20Agreement%20to%20the%20Paris%20Agreement%20between%20the%20Swiss%20Federal%20Council%20and%20the%20Government%20of%20Ukraine.pdf" xr:uid="{3B04381F-3F30-403D-9192-92E76BE08034}"/>
    <hyperlink ref="G22" r:id="rId54" display="https://www.bafu.admin.ch/dam/bafu/en/dokumente/international/fachinfo-daten/Accord%20de%20mise%20en%20oeuvre%20de%20l_Accord%20de%20Paris%20entre%20la%20Confederation%20suisse%20et%20le%20Royaume%20du%20Maroc.pdf.download.pdf/Accord%20de%20mise%20en%20oeuvre%20de%20l_Accord%20de%20Paris%20entre%20la%20Confederation%20suisse%20et%20le%20Royaume%20du%20Maroc.pdf" xr:uid="{1C7178E7-699F-4189-B259-F3EB6D1D3550}"/>
    <hyperlink ref="G23" r:id="rId55" display="https://www.bafu.admin.ch/dam/bafu/en/dokumente/international/fachinfo-daten/durchfuehrungsabkommen-zum-uebereinkommen-von-paris-zwischen-dem-schweizerischen-bundesrat-und-der-regierung-der-republik-malawi.pdf.download.pdf/durchfuehrungsabkommen-zum-uebereinkommen-von-paris-zwischen-dem-schweizerischen-bundesrat-und-der-regierung-der-republik-malawi.pdf" xr:uid="{7F6B70FE-B0D1-477E-B38A-D261E0099140}"/>
    <hyperlink ref="G25" r:id="rId56" display="https://www.bafu.admin.ch/dam/bafu/en/dokumente/international/fachinfo-daten/Joint%20Declaration%20Switzerland%20Chile%20on%20Article%206%20Cooperation%20at%20Local%20Level.pdf.download.pdf/Joint%20Declaration%20Switzerland%20Chile%20on%20Article%206%20Cooperation%20at%20Local%20Level.pdf" xr:uid="{72FAE920-D951-47C3-897F-54A80A7D0C5A}"/>
    <hyperlink ref="G17" r:id="rId57" display="https://www.bafu.admin.ch/dam/bafu/fr/dokumente/international/fachinfo-daten/Implementing%20Agreement%20to%20Paris%20Agreement%20between%20the%20Swiss%20Confederation%20and%20Georgia.pdf.download.pdf/Implementing%20Agreement%20to%20Paris%20Agreement%20between%20the%20Swiss%20Confederation%20and%20Georgia.pdf" xr:uid="{31B1782C-7792-4C63-A6E7-D95119D5ACE5}"/>
    <hyperlink ref="G18" r:id="rId58" display="https://www.bafu.admin.ch/dam/bafu/en/dokumente/international/fachinfo-daten/Implementing%20Agreement%20to%20the%20Paris%20Agreement%20between%20the%20Swiss%20Confederation%20and%20the%20Republic%20of%20Vanuatu1.pdf.download.pdf/Implementing%20Agreement%20to%20the%20Paris%20Agreement%20between%20the%20Swiss%20Confederation%20and%20the%20Republic%20of%20Vanuatu1.pdf" xr:uid="{BF4A33B0-4FAF-405E-B978-8B2377DC070E}"/>
  </hyperlinks>
  <pageMargins left="0.7" right="0.7" top="0.75" bottom="0.75" header="0.3" footer="0.3"/>
  <pageSetup paperSize="9" orientation="portrait" r:id="rId59"/>
  <legacyDrawing r:id="rId60"/>
  <tableParts count="1">
    <tablePart r:id="rId6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B1C20-89CD-43EF-A67E-E10D0A00C9B0}">
  <dimension ref="A1:Q14"/>
  <sheetViews>
    <sheetView showGridLines="0" zoomScale="80" zoomScaleNormal="80" workbookViewId="0">
      <selection activeCell="E19" sqref="E19"/>
    </sheetView>
  </sheetViews>
  <sheetFormatPr defaultColWidth="9.26953125" defaultRowHeight="14" outlineLevelCol="1" x14ac:dyDescent="0.3"/>
  <cols>
    <col min="1" max="1" width="8.453125" style="45" customWidth="1"/>
    <col min="2" max="2" width="45.54296875" style="5" customWidth="1"/>
    <col min="3" max="3" width="27" style="3" customWidth="1"/>
    <col min="4" max="5" width="27" style="3" customWidth="1" outlineLevel="1"/>
    <col min="6" max="6" width="24.54296875" style="3" customWidth="1"/>
    <col min="7" max="7" width="38.453125" style="3" customWidth="1"/>
    <col min="8" max="8" width="40" style="3" customWidth="1"/>
    <col min="9" max="9" width="13.26953125" style="6" customWidth="1"/>
    <col min="10" max="10" width="55.453125" style="1" customWidth="1"/>
    <col min="11" max="11" width="34.453125" style="1" customWidth="1"/>
    <col min="12" max="12" width="28.54296875" style="1" customWidth="1"/>
    <col min="13" max="13" width="33.54296875" style="1" customWidth="1"/>
    <col min="14" max="14" width="17.7265625" style="1" customWidth="1"/>
    <col min="15" max="15" width="71.54296875" style="7" customWidth="1"/>
    <col min="16" max="16" width="46.453125" style="1" customWidth="1"/>
    <col min="17" max="17" width="129.453125" style="3" customWidth="1"/>
    <col min="18" max="16384" width="9.26953125" style="1"/>
  </cols>
  <sheetData>
    <row r="1" spans="1:17" ht="39" customHeight="1" x14ac:dyDescent="0.35">
      <c r="A1" s="51" t="s">
        <v>973</v>
      </c>
      <c r="B1" s="8"/>
      <c r="C1" s="9"/>
      <c r="D1" s="9"/>
      <c r="E1" s="9"/>
      <c r="F1" s="9"/>
      <c r="G1" s="10"/>
      <c r="H1" s="10"/>
      <c r="I1" s="11"/>
      <c r="J1" s="12"/>
      <c r="K1" s="12"/>
      <c r="L1" s="12"/>
      <c r="M1" s="12"/>
      <c r="N1" s="12"/>
      <c r="O1" s="13"/>
    </row>
    <row r="2" spans="1:17" ht="24" customHeight="1" x14ac:dyDescent="0.3">
      <c r="A2" s="197" t="s">
        <v>974</v>
      </c>
      <c r="B2" s="197"/>
      <c r="C2" s="197"/>
      <c r="D2" s="197"/>
      <c r="E2" s="197"/>
      <c r="F2" s="197"/>
      <c r="G2" s="197"/>
      <c r="H2" s="197"/>
      <c r="I2" s="197"/>
      <c r="J2" s="197"/>
      <c r="K2" s="14"/>
      <c r="L2" s="14"/>
      <c r="M2" s="14"/>
      <c r="N2" s="14"/>
      <c r="O2" s="8"/>
    </row>
    <row r="3" spans="1:17" s="170" customFormat="1" ht="30.75" customHeight="1" x14ac:dyDescent="0.25">
      <c r="A3" s="163" t="s">
        <v>1</v>
      </c>
      <c r="B3" s="163" t="s">
        <v>2</v>
      </c>
      <c r="C3" s="164" t="s">
        <v>3</v>
      </c>
      <c r="D3" s="164" t="s">
        <v>4</v>
      </c>
      <c r="E3" s="164" t="s">
        <v>5</v>
      </c>
      <c r="F3" s="164" t="s">
        <v>6</v>
      </c>
      <c r="G3" s="164" t="s">
        <v>7</v>
      </c>
      <c r="H3" s="165" t="s">
        <v>8</v>
      </c>
      <c r="I3" s="166" t="s">
        <v>9</v>
      </c>
      <c r="J3" s="167" t="s">
        <v>10</v>
      </c>
      <c r="K3" s="167" t="s">
        <v>11</v>
      </c>
      <c r="L3" s="167" t="s">
        <v>12</v>
      </c>
      <c r="M3" s="167" t="s">
        <v>13</v>
      </c>
      <c r="N3" s="167" t="s">
        <v>14</v>
      </c>
      <c r="O3" s="164" t="s">
        <v>15</v>
      </c>
      <c r="P3" s="168" t="s">
        <v>16</v>
      </c>
      <c r="Q3" s="169" t="s">
        <v>17</v>
      </c>
    </row>
    <row r="4" spans="1:17" s="16" customFormat="1" ht="28" x14ac:dyDescent="0.25">
      <c r="A4" s="122">
        <v>1</v>
      </c>
      <c r="B4" s="46" t="s">
        <v>975</v>
      </c>
      <c r="C4" s="46" t="s">
        <v>976</v>
      </c>
      <c r="D4" s="46" t="str">
        <f>VLOOKUP(Virtual_Pilots[[#This Row],[Host country]],Country_Mapping[],COLUMN(Country_Mapping[[#Headers],[Region]]),0)</f>
        <v>Africa</v>
      </c>
      <c r="E4" s="46" t="str">
        <f>VLOOKUP(Virtual_Pilots[[#This Row],[Host country]],Country_Mapping[],COLUMN(Country_Mapping[[#Headers],[Sub-region]]),0)</f>
        <v>Western Africa</v>
      </c>
      <c r="F4" s="46"/>
      <c r="G4" s="46" t="s">
        <v>182</v>
      </c>
      <c r="H4" s="46"/>
      <c r="I4" s="47" t="s">
        <v>36</v>
      </c>
      <c r="J4" s="48" t="s">
        <v>977</v>
      </c>
      <c r="K4" s="48"/>
      <c r="L4" s="48" t="s">
        <v>978</v>
      </c>
      <c r="M4" s="46"/>
      <c r="N4" s="48" t="s">
        <v>925</v>
      </c>
      <c r="O4" s="49" t="s">
        <v>979</v>
      </c>
      <c r="P4" s="46"/>
      <c r="Q4" s="123"/>
    </row>
    <row r="5" spans="1:17" s="16" customFormat="1" ht="28" x14ac:dyDescent="0.25">
      <c r="A5" s="122">
        <f>A4+1</f>
        <v>2</v>
      </c>
      <c r="B5" s="46" t="s">
        <v>980</v>
      </c>
      <c r="C5" s="46" t="s">
        <v>565</v>
      </c>
      <c r="D5" s="46" t="str">
        <f>VLOOKUP(Virtual_Pilots[[#This Row],[Host country]],Country_Mapping[],COLUMN(Country_Mapping[[#Headers],[Region]]),0)</f>
        <v>Africa</v>
      </c>
      <c r="E5" s="46" t="str">
        <f>VLOOKUP(Virtual_Pilots[[#This Row],[Host country]],Country_Mapping[],COLUMN(Country_Mapping[[#Headers],[Sub-region]]),0)</f>
        <v>Eastern Africa</v>
      </c>
      <c r="F5" s="46"/>
      <c r="G5" s="46" t="s">
        <v>981</v>
      </c>
      <c r="H5" s="46" t="s">
        <v>982</v>
      </c>
      <c r="I5" s="47" t="s">
        <v>36</v>
      </c>
      <c r="J5" s="48" t="s">
        <v>977</v>
      </c>
      <c r="K5" s="48"/>
      <c r="L5" s="48" t="s">
        <v>978</v>
      </c>
      <c r="M5" s="46"/>
      <c r="N5" s="48" t="s">
        <v>925</v>
      </c>
      <c r="O5" s="49" t="s">
        <v>983</v>
      </c>
      <c r="P5" s="46"/>
      <c r="Q5" s="123" t="s">
        <v>984</v>
      </c>
    </row>
    <row r="6" spans="1:17" s="16" customFormat="1" ht="30" customHeight="1" x14ac:dyDescent="0.25">
      <c r="A6" s="122">
        <f t="shared" ref="A6:A14" si="0">A5+1</f>
        <v>3</v>
      </c>
      <c r="B6" s="46" t="s">
        <v>985</v>
      </c>
      <c r="C6" s="46" t="s">
        <v>756</v>
      </c>
      <c r="D6" s="46" t="str">
        <f>VLOOKUP(Virtual_Pilots[[#This Row],[Host country]],Country_Mapping[],COLUMN(Country_Mapping[[#Headers],[Region]]),0)</f>
        <v>Americas</v>
      </c>
      <c r="E6" s="46" t="str">
        <f>VLOOKUP(Virtual_Pilots[[#This Row],[Host country]],Country_Mapping[],COLUMN(Country_Mapping[[#Headers],[Sub-region]]),0)</f>
        <v>South America</v>
      </c>
      <c r="F6" s="46"/>
      <c r="G6" s="46" t="s">
        <v>981</v>
      </c>
      <c r="H6" s="46" t="s">
        <v>982</v>
      </c>
      <c r="I6" s="47" t="s">
        <v>36</v>
      </c>
      <c r="J6" s="48" t="s">
        <v>977</v>
      </c>
      <c r="K6" s="48"/>
      <c r="L6" s="48" t="s">
        <v>986</v>
      </c>
      <c r="M6" s="46"/>
      <c r="N6" s="48" t="s">
        <v>925</v>
      </c>
      <c r="O6" s="49" t="s">
        <v>987</v>
      </c>
      <c r="P6" s="46"/>
      <c r="Q6" s="123" t="s">
        <v>988</v>
      </c>
    </row>
    <row r="7" spans="1:17" s="16" customFormat="1" ht="28" x14ac:dyDescent="0.25">
      <c r="A7" s="122">
        <f t="shared" si="0"/>
        <v>4</v>
      </c>
      <c r="B7" s="46" t="s">
        <v>989</v>
      </c>
      <c r="C7" s="46" t="s">
        <v>466</v>
      </c>
      <c r="D7" s="46" t="str">
        <f>VLOOKUP(Virtual_Pilots[[#This Row],[Host country]],Country_Mapping[],COLUMN(Country_Mapping[[#Headers],[Region]]),0)</f>
        <v>Asia</v>
      </c>
      <c r="E7" s="46" t="str">
        <f>VLOOKUP(Virtual_Pilots[[#This Row],[Host country]],Country_Mapping[],COLUMN(Country_Mapping[[#Headers],[Sub-region]]),0)</f>
        <v>Eastern Asia</v>
      </c>
      <c r="F7" s="46" t="s">
        <v>990</v>
      </c>
      <c r="G7" s="46" t="s">
        <v>981</v>
      </c>
      <c r="H7" s="46" t="s">
        <v>991</v>
      </c>
      <c r="I7" s="47" t="s">
        <v>36</v>
      </c>
      <c r="J7" s="48" t="s">
        <v>977</v>
      </c>
      <c r="K7" s="48"/>
      <c r="L7" s="48" t="s">
        <v>992</v>
      </c>
      <c r="M7" s="46"/>
      <c r="N7" s="48" t="s">
        <v>925</v>
      </c>
      <c r="O7" s="49" t="s">
        <v>993</v>
      </c>
      <c r="P7" s="46"/>
      <c r="Q7" s="123"/>
    </row>
    <row r="8" spans="1:17" s="16" customFormat="1" ht="28" x14ac:dyDescent="0.25">
      <c r="A8" s="122">
        <f t="shared" si="0"/>
        <v>5</v>
      </c>
      <c r="B8" s="46" t="s">
        <v>994</v>
      </c>
      <c r="C8" s="46" t="s">
        <v>434</v>
      </c>
      <c r="D8" s="46" t="str">
        <f>VLOOKUP(Virtual_Pilots[[#This Row],[Host country]],Country_Mapping[],COLUMN(Country_Mapping[[#Headers],[Region]]),0)</f>
        <v>Asia</v>
      </c>
      <c r="E8" s="46" t="str">
        <f>VLOOKUP(Virtual_Pilots[[#This Row],[Host country]],Country_Mapping[],COLUMN(Country_Mapping[[#Headers],[Sub-region]]),0)</f>
        <v>Southeast Asia</v>
      </c>
      <c r="F8" s="46"/>
      <c r="G8" s="46" t="s">
        <v>104</v>
      </c>
      <c r="H8" s="46"/>
      <c r="I8" s="47" t="s">
        <v>36</v>
      </c>
      <c r="J8" s="48" t="s">
        <v>977</v>
      </c>
      <c r="K8" s="48"/>
      <c r="L8" s="48" t="s">
        <v>986</v>
      </c>
      <c r="M8" s="46"/>
      <c r="N8" s="48" t="s">
        <v>925</v>
      </c>
      <c r="O8" s="49" t="s">
        <v>995</v>
      </c>
      <c r="P8" s="46"/>
      <c r="Q8" s="123"/>
    </row>
    <row r="9" spans="1:17" s="16" customFormat="1" ht="63.75" customHeight="1" x14ac:dyDescent="0.25">
      <c r="A9" s="122">
        <f t="shared" si="0"/>
        <v>6</v>
      </c>
      <c r="B9" s="46" t="s">
        <v>996</v>
      </c>
      <c r="C9" s="46" t="s">
        <v>579</v>
      </c>
      <c r="D9" s="46" t="str">
        <f>VLOOKUP(Virtual_Pilots[[#This Row],[Host country]],Country_Mapping[],COLUMN(Country_Mapping[[#Headers],[Region]]),0)</f>
        <v>Asia</v>
      </c>
      <c r="E9" s="46" t="str">
        <f>VLOOKUP(Virtual_Pilots[[#This Row],[Host country]],Country_Mapping[],COLUMN(Country_Mapping[[#Headers],[Sub-region]]),0)</f>
        <v>Southeast Asia</v>
      </c>
      <c r="F9" s="46"/>
      <c r="G9" s="46" t="s">
        <v>44</v>
      </c>
      <c r="H9" s="46" t="s">
        <v>997</v>
      </c>
      <c r="I9" s="47" t="s">
        <v>36</v>
      </c>
      <c r="J9" s="48" t="s">
        <v>977</v>
      </c>
      <c r="K9" s="48"/>
      <c r="L9" s="48" t="s">
        <v>998</v>
      </c>
      <c r="M9" s="46"/>
      <c r="N9" s="48" t="s">
        <v>925</v>
      </c>
      <c r="O9" s="49" t="s">
        <v>999</v>
      </c>
      <c r="P9" s="46" t="s">
        <v>1000</v>
      </c>
      <c r="Q9" s="123" t="s">
        <v>1001</v>
      </c>
    </row>
    <row r="10" spans="1:17" s="16" customFormat="1" ht="28" x14ac:dyDescent="0.25">
      <c r="A10" s="122">
        <f t="shared" si="0"/>
        <v>7</v>
      </c>
      <c r="B10" s="46" t="s">
        <v>1002</v>
      </c>
      <c r="C10" s="46" t="s">
        <v>820</v>
      </c>
      <c r="D10" s="46" t="str">
        <f>VLOOKUP(Virtual_Pilots[[#This Row],[Host country]],Country_Mapping[],COLUMN(Country_Mapping[[#Headers],[Region]]),0)</f>
        <v>Americas</v>
      </c>
      <c r="E10" s="46" t="str">
        <f>VLOOKUP(Virtual_Pilots[[#This Row],[Host country]],Country_Mapping[],COLUMN(Country_Mapping[[#Headers],[Sub-region]]),0)</f>
        <v>South America</v>
      </c>
      <c r="F10" s="46"/>
      <c r="G10" s="46" t="s">
        <v>81</v>
      </c>
      <c r="H10" s="46" t="s">
        <v>1003</v>
      </c>
      <c r="I10" s="47" t="s">
        <v>36</v>
      </c>
      <c r="J10" s="48" t="s">
        <v>977</v>
      </c>
      <c r="K10" s="48"/>
      <c r="L10" s="48" t="s">
        <v>1004</v>
      </c>
      <c r="M10" s="46"/>
      <c r="N10" s="48" t="s">
        <v>925</v>
      </c>
      <c r="O10" s="49" t="s">
        <v>1005</v>
      </c>
      <c r="P10" s="46"/>
      <c r="Q10" s="123"/>
    </row>
    <row r="11" spans="1:17" ht="56" x14ac:dyDescent="0.3">
      <c r="A11" s="122">
        <f t="shared" si="0"/>
        <v>8</v>
      </c>
      <c r="B11" s="46" t="s">
        <v>1006</v>
      </c>
      <c r="C11" s="46" t="s">
        <v>820</v>
      </c>
      <c r="D11" s="46" t="str">
        <f>VLOOKUP(Virtual_Pilots[[#This Row],[Host country]],Country_Mapping[],COLUMN(Country_Mapping[[#Headers],[Region]]),0)</f>
        <v>Americas</v>
      </c>
      <c r="E11" s="46" t="str">
        <f>VLOOKUP(Virtual_Pilots[[#This Row],[Host country]],Country_Mapping[],COLUMN(Country_Mapping[[#Headers],[Sub-region]]),0)</f>
        <v>South America</v>
      </c>
      <c r="F11" s="46" t="s">
        <v>1007</v>
      </c>
      <c r="G11" s="46" t="s">
        <v>62</v>
      </c>
      <c r="H11" s="46" t="s">
        <v>1008</v>
      </c>
      <c r="I11" s="47" t="s">
        <v>36</v>
      </c>
      <c r="J11" s="46" t="s">
        <v>1009</v>
      </c>
      <c r="K11" s="46" t="s">
        <v>1010</v>
      </c>
      <c r="L11" s="46" t="s">
        <v>1011</v>
      </c>
      <c r="M11" s="46" t="s">
        <v>1012</v>
      </c>
      <c r="N11" s="46"/>
      <c r="O11" s="49" t="s">
        <v>1013</v>
      </c>
      <c r="P11" s="46" t="s">
        <v>1014</v>
      </c>
      <c r="Q11" s="123" t="s">
        <v>1015</v>
      </c>
    </row>
    <row r="12" spans="1:17" ht="42" x14ac:dyDescent="0.3">
      <c r="A12" s="122">
        <f t="shared" si="0"/>
        <v>9</v>
      </c>
      <c r="B12" s="46" t="s">
        <v>1016</v>
      </c>
      <c r="C12" s="46" t="s">
        <v>466</v>
      </c>
      <c r="D12" s="46" t="str">
        <f>VLOOKUP(Virtual_Pilots[[#This Row],[Host country]],Country_Mapping[],COLUMN(Country_Mapping[[#Headers],[Region]]),0)</f>
        <v>Asia</v>
      </c>
      <c r="E12" s="46" t="str">
        <f>VLOOKUP(Virtual_Pilots[[#This Row],[Host country]],Country_Mapping[],COLUMN(Country_Mapping[[#Headers],[Sub-region]]),0)</f>
        <v>Eastern Asia</v>
      </c>
      <c r="F12" s="46" t="s">
        <v>990</v>
      </c>
      <c r="G12" s="46" t="s">
        <v>62</v>
      </c>
      <c r="H12" s="46" t="s">
        <v>1017</v>
      </c>
      <c r="I12" s="47" t="s">
        <v>36</v>
      </c>
      <c r="J12" s="46" t="s">
        <v>1018</v>
      </c>
      <c r="K12" s="46"/>
      <c r="L12" s="48" t="s">
        <v>1011</v>
      </c>
      <c r="M12" s="46"/>
      <c r="N12" s="46"/>
      <c r="O12" s="49" t="s">
        <v>1019</v>
      </c>
      <c r="P12" s="46" t="s">
        <v>1020</v>
      </c>
      <c r="Q12" s="123" t="s">
        <v>1021</v>
      </c>
    </row>
    <row r="13" spans="1:17" ht="28" x14ac:dyDescent="0.3">
      <c r="A13" s="122">
        <f t="shared" si="0"/>
        <v>10</v>
      </c>
      <c r="B13" s="46" t="s">
        <v>1022</v>
      </c>
      <c r="C13" s="46" t="s">
        <v>820</v>
      </c>
      <c r="D13" s="46" t="str">
        <f>VLOOKUP(Virtual_Pilots[[#This Row],[Host country]],Country_Mapping[],COLUMN(Country_Mapping[[#Headers],[Region]]),0)</f>
        <v>Americas</v>
      </c>
      <c r="E13" s="46" t="str">
        <f>VLOOKUP(Virtual_Pilots[[#This Row],[Host country]],Country_Mapping[],COLUMN(Country_Mapping[[#Headers],[Sub-region]]),0)</f>
        <v>South America</v>
      </c>
      <c r="F13" s="46"/>
      <c r="G13" s="46" t="s">
        <v>34</v>
      </c>
      <c r="H13" s="46" t="s">
        <v>1023</v>
      </c>
      <c r="I13" s="47" t="s">
        <v>36</v>
      </c>
      <c r="J13" s="48" t="s">
        <v>1018</v>
      </c>
      <c r="K13" s="48"/>
      <c r="L13" s="48" t="s">
        <v>1004</v>
      </c>
      <c r="M13" s="48"/>
      <c r="N13" s="48" t="s">
        <v>925</v>
      </c>
      <c r="O13" s="49" t="s">
        <v>1024</v>
      </c>
      <c r="P13" s="48" t="s">
        <v>1025</v>
      </c>
      <c r="Q13" s="123" t="s">
        <v>1026</v>
      </c>
    </row>
    <row r="14" spans="1:17" ht="28" x14ac:dyDescent="0.3">
      <c r="A14" s="124">
        <f t="shared" si="0"/>
        <v>11</v>
      </c>
      <c r="B14" s="125" t="s">
        <v>1027</v>
      </c>
      <c r="C14" s="125" t="s">
        <v>820</v>
      </c>
      <c r="D14" s="125" t="str">
        <f>VLOOKUP(Virtual_Pilots[[#This Row],[Host country]],Country_Mapping[],COLUMN(Country_Mapping[[#Headers],[Region]]),0)</f>
        <v>Americas</v>
      </c>
      <c r="E14" s="125" t="str">
        <f>VLOOKUP(Virtual_Pilots[[#This Row],[Host country]],Country_Mapping[],COLUMN(Country_Mapping[[#Headers],[Sub-region]]),0)</f>
        <v>South America</v>
      </c>
      <c r="F14" s="125" t="s">
        <v>1028</v>
      </c>
      <c r="G14" s="125" t="s">
        <v>56</v>
      </c>
      <c r="H14" s="125" t="s">
        <v>57</v>
      </c>
      <c r="I14" s="126" t="s">
        <v>36</v>
      </c>
      <c r="J14" s="127" t="s">
        <v>1018</v>
      </c>
      <c r="K14" s="127"/>
      <c r="L14" s="127" t="s">
        <v>1004</v>
      </c>
      <c r="M14" s="127"/>
      <c r="N14" s="127" t="s">
        <v>925</v>
      </c>
      <c r="O14" s="128" t="s">
        <v>1024</v>
      </c>
      <c r="P14" s="127" t="s">
        <v>1025</v>
      </c>
      <c r="Q14" s="129" t="s">
        <v>1029</v>
      </c>
    </row>
  </sheetData>
  <mergeCells count="1">
    <mergeCell ref="A2:J2"/>
  </mergeCells>
  <conditionalFormatting sqref="A1:A3">
    <cfRule type="containsText" dxfId="7" priority="3" operator="containsText" text="CDM6044">
      <formula>NOT(ISERROR(SEARCH("CDM6044",A1)))</formula>
    </cfRule>
    <cfRule type="containsText" dxfId="6" priority="4" operator="containsText" text="CDM6043">
      <formula>NOT(ISERROR(SEARCH("CDM6043",A1)))</formula>
    </cfRule>
    <cfRule type="containsText" dxfId="5" priority="5" operator="containsText" text="CDM6043">
      <formula>NOT(ISERROR(SEARCH("CDM6043",A1)))</formula>
    </cfRule>
    <cfRule type="containsText" dxfId="4" priority="6" operator="containsText" text="CDM6042">
      <formula>NOT(ISERROR(SEARCH("CDM6042",A1)))</formula>
    </cfRule>
  </conditionalFormatting>
  <dataValidations count="1">
    <dataValidation type="list" allowBlank="1" showInputMessage="1" showErrorMessage="1" errorTitle="Invalid Country" sqref="C4:C14" xr:uid="{36EEEC46-52F5-4C67-B621-020F5184E77B}">
      <formula1>Countries</formula1>
    </dataValidation>
  </dataValidations>
  <hyperlinks>
    <hyperlink ref="O10" r:id="rId1" xr:uid="{242367F6-7DCB-4842-91EB-F71DC15963E5}"/>
    <hyperlink ref="O6" r:id="rId2" xr:uid="{3960AD04-910A-4BF7-80FD-7727FDBDEF4A}"/>
    <hyperlink ref="O7" r:id="rId3" xr:uid="{1C8CAEED-1D67-49EB-9D6A-108AA048E897}"/>
    <hyperlink ref="O8" r:id="rId4" xr:uid="{6380F12F-F34A-4D86-83AE-5EBF192B4BBD}"/>
    <hyperlink ref="O9" r:id="rId5" xr:uid="{4AFDF244-9611-458D-AE33-9AA6F87B873C}"/>
    <hyperlink ref="O4" r:id="rId6" xr:uid="{E68C7E35-3A98-477C-B1A1-AB70EF639A4B}"/>
    <hyperlink ref="O11" r:id="rId7" xr:uid="{2B7CEEDA-3454-468E-8EE2-26593564AE49}"/>
    <hyperlink ref="O12" r:id="rId8" xr:uid="{356540E8-72F7-4018-B173-BC18105A1D0E}"/>
    <hyperlink ref="O13" r:id="rId9" xr:uid="{00000000-0004-0000-0000-00001D000000}"/>
    <hyperlink ref="O14" r:id="rId10" xr:uid="{00000000-0004-0000-0000-00001E000000}"/>
  </hyperlinks>
  <pageMargins left="0.7" right="0.7" top="0.75" bottom="0.75" header="0.3" footer="0.3"/>
  <drawing r:id="rId11"/>
  <tableParts count="1">
    <tablePart r:id="rId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76EC3-AE21-4C74-8F30-74934DFE2C54}">
  <dimension ref="A1:E201"/>
  <sheetViews>
    <sheetView showGridLines="0" workbookViewId="0">
      <selection activeCell="G8" sqref="G8"/>
    </sheetView>
  </sheetViews>
  <sheetFormatPr defaultColWidth="9.1796875" defaultRowHeight="14.5" x14ac:dyDescent="0.35"/>
  <cols>
    <col min="1" max="1" width="22.453125" style="118" bestFit="1" customWidth="1"/>
    <col min="2" max="2" width="22.453125" style="117" customWidth="1"/>
    <col min="3" max="3" width="18.453125" style="117" customWidth="1"/>
    <col min="4" max="4" width="22.453125" style="117" customWidth="1"/>
    <col min="5" max="16384" width="9.1796875" style="117"/>
  </cols>
  <sheetData>
    <row r="1" spans="1:5" x14ac:dyDescent="0.35">
      <c r="A1" s="114" t="s">
        <v>3</v>
      </c>
      <c r="B1" s="114" t="s">
        <v>1606</v>
      </c>
      <c r="C1" s="114" t="s">
        <v>4</v>
      </c>
      <c r="D1" s="111" t="s">
        <v>5</v>
      </c>
      <c r="E1" s="111" t="s">
        <v>1607</v>
      </c>
    </row>
    <row r="2" spans="1:5" x14ac:dyDescent="0.35">
      <c r="A2" s="118" t="s">
        <v>1342</v>
      </c>
      <c r="C2" s="117" t="s">
        <v>835</v>
      </c>
      <c r="D2" s="117" t="s">
        <v>960</v>
      </c>
      <c r="E2" s="117" t="s">
        <v>1343</v>
      </c>
    </row>
    <row r="3" spans="1:5" x14ac:dyDescent="0.35">
      <c r="A3" s="112" t="s">
        <v>1030</v>
      </c>
      <c r="B3" s="113"/>
      <c r="C3" s="113" t="s">
        <v>966</v>
      </c>
      <c r="D3" s="117" t="s">
        <v>1031</v>
      </c>
      <c r="E3" s="117" t="s">
        <v>1344</v>
      </c>
    </row>
    <row r="4" spans="1:5" x14ac:dyDescent="0.35">
      <c r="A4" s="112" t="s">
        <v>1032</v>
      </c>
      <c r="B4" s="113"/>
      <c r="C4" s="113" t="s">
        <v>954</v>
      </c>
      <c r="D4" s="117" t="s">
        <v>956</v>
      </c>
      <c r="E4" s="117" t="s">
        <v>1345</v>
      </c>
    </row>
    <row r="5" spans="1:5" x14ac:dyDescent="0.35">
      <c r="A5" s="118" t="s">
        <v>1346</v>
      </c>
      <c r="C5" s="117" t="s">
        <v>966</v>
      </c>
      <c r="D5" s="117" t="s">
        <v>1031</v>
      </c>
      <c r="E5" s="117" t="s">
        <v>1347</v>
      </c>
    </row>
    <row r="6" spans="1:5" x14ac:dyDescent="0.35">
      <c r="A6" s="112" t="s">
        <v>1033</v>
      </c>
      <c r="B6" s="113"/>
      <c r="C6" s="113" t="s">
        <v>954</v>
      </c>
      <c r="D6" s="117" t="s">
        <v>958</v>
      </c>
      <c r="E6" s="117" t="s">
        <v>1348</v>
      </c>
    </row>
    <row r="7" spans="1:5" x14ac:dyDescent="0.35">
      <c r="A7" s="118" t="s">
        <v>1349</v>
      </c>
      <c r="C7" s="117" t="s">
        <v>952</v>
      </c>
      <c r="D7" s="117" t="s">
        <v>961</v>
      </c>
      <c r="E7" s="117" t="s">
        <v>1350</v>
      </c>
    </row>
    <row r="8" spans="1:5" x14ac:dyDescent="0.35">
      <c r="A8" s="112" t="s">
        <v>1035</v>
      </c>
      <c r="B8" s="113"/>
      <c r="C8" s="113" t="s">
        <v>952</v>
      </c>
      <c r="D8" s="117" t="s">
        <v>953</v>
      </c>
      <c r="E8" s="117" t="s">
        <v>1351</v>
      </c>
    </row>
    <row r="9" spans="1:5" x14ac:dyDescent="0.35">
      <c r="A9" s="112" t="s">
        <v>1036</v>
      </c>
      <c r="B9" s="113"/>
      <c r="C9" s="113" t="s">
        <v>835</v>
      </c>
      <c r="D9" s="117" t="s">
        <v>962</v>
      </c>
      <c r="E9" s="117" t="s">
        <v>1352</v>
      </c>
    </row>
    <row r="10" spans="1:5" x14ac:dyDescent="0.35">
      <c r="A10" s="118" t="s">
        <v>945</v>
      </c>
      <c r="C10" s="117" t="s">
        <v>963</v>
      </c>
      <c r="D10" s="117" t="s">
        <v>1632</v>
      </c>
      <c r="E10" s="117" t="s">
        <v>1353</v>
      </c>
    </row>
    <row r="11" spans="1:5" x14ac:dyDescent="0.35">
      <c r="A11" s="118" t="s">
        <v>1354</v>
      </c>
      <c r="C11" s="117" t="s">
        <v>966</v>
      </c>
      <c r="D11" s="117" t="s">
        <v>1356</v>
      </c>
      <c r="E11" s="117" t="s">
        <v>1355</v>
      </c>
    </row>
    <row r="12" spans="1:5" x14ac:dyDescent="0.35">
      <c r="A12" s="112" t="s">
        <v>905</v>
      </c>
      <c r="B12" s="113"/>
      <c r="C12" s="113" t="s">
        <v>835</v>
      </c>
      <c r="D12" s="117" t="s">
        <v>962</v>
      </c>
      <c r="E12" s="117" t="s">
        <v>1357</v>
      </c>
    </row>
    <row r="13" spans="1:5" x14ac:dyDescent="0.35">
      <c r="A13" s="112" t="s">
        <v>1037</v>
      </c>
      <c r="B13" s="113"/>
      <c r="C13" s="113" t="s">
        <v>952</v>
      </c>
      <c r="D13" s="117" t="s">
        <v>961</v>
      </c>
      <c r="E13" s="117" t="s">
        <v>1358</v>
      </c>
    </row>
    <row r="14" spans="1:5" x14ac:dyDescent="0.35">
      <c r="A14" s="118" t="s">
        <v>1359</v>
      </c>
      <c r="C14" s="117" t="s">
        <v>835</v>
      </c>
      <c r="D14" s="117" t="s">
        <v>962</v>
      </c>
      <c r="E14" s="117" t="s">
        <v>1360</v>
      </c>
    </row>
    <row r="15" spans="1:5" x14ac:dyDescent="0.35">
      <c r="A15" s="112" t="s">
        <v>782</v>
      </c>
      <c r="B15" s="113"/>
      <c r="C15" s="113" t="s">
        <v>835</v>
      </c>
      <c r="D15" s="117" t="s">
        <v>960</v>
      </c>
      <c r="E15" s="117" t="s">
        <v>1361</v>
      </c>
    </row>
    <row r="16" spans="1:5" x14ac:dyDescent="0.35">
      <c r="A16" s="118" t="s">
        <v>1233</v>
      </c>
      <c r="C16" s="117" t="s">
        <v>952</v>
      </c>
      <c r="D16" s="117" t="s">
        <v>961</v>
      </c>
      <c r="E16" s="117" t="s">
        <v>1362</v>
      </c>
    </row>
    <row r="17" spans="1:5" x14ac:dyDescent="0.35">
      <c r="A17" s="118" t="s">
        <v>1363</v>
      </c>
      <c r="C17" s="117" t="s">
        <v>966</v>
      </c>
      <c r="D17" s="117" t="s">
        <v>967</v>
      </c>
      <c r="E17" s="117" t="s">
        <v>1364</v>
      </c>
    </row>
    <row r="18" spans="1:5" x14ac:dyDescent="0.35">
      <c r="A18" s="118" t="s">
        <v>1365</v>
      </c>
      <c r="C18" s="117" t="s">
        <v>966</v>
      </c>
      <c r="D18" s="117" t="s">
        <v>1356</v>
      </c>
      <c r="E18" s="117" t="s">
        <v>1366</v>
      </c>
    </row>
    <row r="19" spans="1:5" x14ac:dyDescent="0.35">
      <c r="A19" s="112" t="s">
        <v>1038</v>
      </c>
      <c r="B19" s="113"/>
      <c r="C19" s="113" t="s">
        <v>952</v>
      </c>
      <c r="D19" s="117" t="s">
        <v>970</v>
      </c>
      <c r="E19" s="117" t="s">
        <v>1367</v>
      </c>
    </row>
    <row r="20" spans="1:5" x14ac:dyDescent="0.35">
      <c r="A20" s="118" t="s">
        <v>1107</v>
      </c>
      <c r="C20" s="117" t="s">
        <v>954</v>
      </c>
      <c r="D20" s="117" t="s">
        <v>955</v>
      </c>
      <c r="E20" s="117" t="s">
        <v>1368</v>
      </c>
    </row>
    <row r="21" spans="1:5" x14ac:dyDescent="0.35">
      <c r="A21" s="112" t="s">
        <v>937</v>
      </c>
      <c r="B21" s="113"/>
      <c r="C21" s="113" t="s">
        <v>835</v>
      </c>
      <c r="D21" s="117" t="s">
        <v>960</v>
      </c>
      <c r="E21" s="117" t="s">
        <v>1369</v>
      </c>
    </row>
    <row r="22" spans="1:5" x14ac:dyDescent="0.35">
      <c r="A22" s="112" t="s">
        <v>1039</v>
      </c>
      <c r="B22" s="113" t="s">
        <v>1608</v>
      </c>
      <c r="C22" s="113" t="s">
        <v>952</v>
      </c>
      <c r="D22" s="117" t="s">
        <v>953</v>
      </c>
      <c r="E22" s="117" t="s">
        <v>1370</v>
      </c>
    </row>
    <row r="23" spans="1:5" x14ac:dyDescent="0.35">
      <c r="A23" s="112" t="s">
        <v>1040</v>
      </c>
      <c r="B23" s="113"/>
      <c r="C23" s="113" t="s">
        <v>966</v>
      </c>
      <c r="D23" s="117" t="s">
        <v>1031</v>
      </c>
      <c r="E23" s="117" t="s">
        <v>1371</v>
      </c>
    </row>
    <row r="24" spans="1:5" x14ac:dyDescent="0.35">
      <c r="A24" s="118" t="s">
        <v>1372</v>
      </c>
      <c r="C24" s="117" t="s">
        <v>954</v>
      </c>
      <c r="D24" s="117" t="s">
        <v>1034</v>
      </c>
      <c r="E24" s="117" t="s">
        <v>1373</v>
      </c>
    </row>
    <row r="25" spans="1:5" x14ac:dyDescent="0.35">
      <c r="A25" s="112" t="s">
        <v>1041</v>
      </c>
      <c r="B25" s="113"/>
      <c r="C25" s="113" t="s">
        <v>952</v>
      </c>
      <c r="D25" s="117" t="s">
        <v>953</v>
      </c>
      <c r="E25" s="117" t="s">
        <v>1374</v>
      </c>
    </row>
    <row r="26" spans="1:5" x14ac:dyDescent="0.35">
      <c r="A26" s="118" t="s">
        <v>1375</v>
      </c>
      <c r="B26" s="117" t="s">
        <v>1609</v>
      </c>
      <c r="C26" s="117" t="s">
        <v>835</v>
      </c>
      <c r="D26" s="117" t="s">
        <v>1044</v>
      </c>
      <c r="E26" s="117" t="s">
        <v>1376</v>
      </c>
    </row>
    <row r="27" spans="1:5" x14ac:dyDescent="0.35">
      <c r="A27" s="118" t="s">
        <v>1377</v>
      </c>
      <c r="C27" s="117" t="s">
        <v>966</v>
      </c>
      <c r="D27" s="117" t="s">
        <v>967</v>
      </c>
      <c r="E27" s="117" t="s">
        <v>1378</v>
      </c>
    </row>
    <row r="28" spans="1:5" x14ac:dyDescent="0.35">
      <c r="A28" s="112" t="s">
        <v>1042</v>
      </c>
      <c r="B28" s="113"/>
      <c r="C28" s="113" t="s">
        <v>954</v>
      </c>
      <c r="D28" s="117" t="s">
        <v>955</v>
      </c>
      <c r="E28" s="117" t="s">
        <v>1379</v>
      </c>
    </row>
    <row r="29" spans="1:5" x14ac:dyDescent="0.35">
      <c r="A29" s="112" t="s">
        <v>1043</v>
      </c>
      <c r="B29" s="113"/>
      <c r="C29" s="113" t="s">
        <v>954</v>
      </c>
      <c r="D29" s="117" t="s">
        <v>965</v>
      </c>
      <c r="E29" s="117" t="s">
        <v>1380</v>
      </c>
    </row>
    <row r="30" spans="1:5" x14ac:dyDescent="0.35">
      <c r="A30" s="112" t="s">
        <v>532</v>
      </c>
      <c r="B30" s="113"/>
      <c r="C30" s="113" t="s">
        <v>835</v>
      </c>
      <c r="D30" s="117" t="s">
        <v>1044</v>
      </c>
      <c r="E30" s="117" t="s">
        <v>1383</v>
      </c>
    </row>
    <row r="31" spans="1:5" x14ac:dyDescent="0.35">
      <c r="A31" s="112" t="s">
        <v>1045</v>
      </c>
      <c r="B31" s="113"/>
      <c r="C31" s="113" t="s">
        <v>954</v>
      </c>
      <c r="D31" s="117" t="s">
        <v>958</v>
      </c>
      <c r="E31" s="117" t="s">
        <v>1384</v>
      </c>
    </row>
    <row r="32" spans="1:5" x14ac:dyDescent="0.35">
      <c r="A32" s="118" t="s">
        <v>1385</v>
      </c>
      <c r="C32" s="117" t="s">
        <v>952</v>
      </c>
      <c r="D32" s="117" t="s">
        <v>1387</v>
      </c>
      <c r="E32" s="117" t="s">
        <v>1386</v>
      </c>
    </row>
    <row r="33" spans="1:5" x14ac:dyDescent="0.35">
      <c r="A33" s="112" t="s">
        <v>1381</v>
      </c>
      <c r="B33" s="113" t="s">
        <v>1046</v>
      </c>
      <c r="C33" s="113" t="s">
        <v>954</v>
      </c>
      <c r="D33" s="117" t="s">
        <v>955</v>
      </c>
      <c r="E33" s="117" t="s">
        <v>1382</v>
      </c>
    </row>
    <row r="34" spans="1:5" x14ac:dyDescent="0.35">
      <c r="A34" s="118" t="s">
        <v>1109</v>
      </c>
      <c r="C34" s="117" t="s">
        <v>954</v>
      </c>
      <c r="D34" s="117" t="s">
        <v>958</v>
      </c>
      <c r="E34" s="117" t="s">
        <v>1388</v>
      </c>
    </row>
    <row r="35" spans="1:5" x14ac:dyDescent="0.35">
      <c r="A35" s="118" t="s">
        <v>1237</v>
      </c>
      <c r="C35" s="117" t="s">
        <v>954</v>
      </c>
      <c r="D35" s="117" t="s">
        <v>958</v>
      </c>
      <c r="E35" s="117" t="s">
        <v>1389</v>
      </c>
    </row>
    <row r="36" spans="1:5" x14ac:dyDescent="0.35">
      <c r="A36" s="112" t="s">
        <v>756</v>
      </c>
      <c r="B36" s="113"/>
      <c r="C36" s="113" t="s">
        <v>952</v>
      </c>
      <c r="D36" s="117" t="s">
        <v>953</v>
      </c>
      <c r="E36" s="117" t="s">
        <v>1390</v>
      </c>
    </row>
    <row r="37" spans="1:5" x14ac:dyDescent="0.35">
      <c r="A37" s="112" t="s">
        <v>1047</v>
      </c>
      <c r="B37" s="113" t="s">
        <v>1266</v>
      </c>
      <c r="C37" s="113" t="s">
        <v>835</v>
      </c>
      <c r="D37" s="117" t="s">
        <v>957</v>
      </c>
      <c r="E37" s="117" t="s">
        <v>1391</v>
      </c>
    </row>
    <row r="38" spans="1:5" x14ac:dyDescent="0.35">
      <c r="A38" s="112" t="s">
        <v>820</v>
      </c>
      <c r="B38" s="113"/>
      <c r="C38" s="113" t="s">
        <v>952</v>
      </c>
      <c r="D38" s="117" t="s">
        <v>953</v>
      </c>
      <c r="E38" s="117" t="s">
        <v>1392</v>
      </c>
    </row>
    <row r="39" spans="1:5" x14ac:dyDescent="0.35">
      <c r="A39" s="118" t="s">
        <v>1393</v>
      </c>
      <c r="C39" s="117" t="s">
        <v>954</v>
      </c>
      <c r="D39" s="117" t="s">
        <v>965</v>
      </c>
      <c r="E39" s="117" t="s">
        <v>1394</v>
      </c>
    </row>
    <row r="40" spans="1:5" x14ac:dyDescent="0.35">
      <c r="A40" s="118" t="s">
        <v>1113</v>
      </c>
      <c r="B40" s="117" t="s">
        <v>1395</v>
      </c>
      <c r="C40" s="117" t="s">
        <v>954</v>
      </c>
      <c r="D40" s="117" t="s">
        <v>958</v>
      </c>
      <c r="E40" s="117" t="s">
        <v>1396</v>
      </c>
    </row>
    <row r="41" spans="1:5" x14ac:dyDescent="0.35">
      <c r="A41" s="112" t="s">
        <v>1612</v>
      </c>
      <c r="B41" s="113" t="s">
        <v>1397</v>
      </c>
      <c r="C41" s="113" t="s">
        <v>954</v>
      </c>
      <c r="D41" s="117" t="s">
        <v>958</v>
      </c>
      <c r="E41" s="117" t="s">
        <v>1398</v>
      </c>
    </row>
    <row r="42" spans="1:5" x14ac:dyDescent="0.35">
      <c r="A42" s="112" t="s">
        <v>771</v>
      </c>
      <c r="B42" s="113"/>
      <c r="C42" s="113" t="s">
        <v>952</v>
      </c>
      <c r="D42" s="117" t="s">
        <v>970</v>
      </c>
      <c r="E42" s="117" t="s">
        <v>1399</v>
      </c>
    </row>
    <row r="43" spans="1:5" x14ac:dyDescent="0.35">
      <c r="A43" s="112" t="s">
        <v>1048</v>
      </c>
      <c r="B43" s="113" t="s">
        <v>1400</v>
      </c>
      <c r="C43" s="113" t="s">
        <v>954</v>
      </c>
      <c r="D43" s="117" t="s">
        <v>955</v>
      </c>
      <c r="E43" s="117" t="s">
        <v>1401</v>
      </c>
    </row>
    <row r="44" spans="1:5" x14ac:dyDescent="0.35">
      <c r="A44" s="118" t="s">
        <v>1402</v>
      </c>
      <c r="C44" s="117" t="s">
        <v>966</v>
      </c>
      <c r="D44" s="117" t="s">
        <v>1031</v>
      </c>
      <c r="E44" s="117" t="s">
        <v>1403</v>
      </c>
    </row>
    <row r="45" spans="1:5" x14ac:dyDescent="0.35">
      <c r="A45" s="112" t="s">
        <v>1049</v>
      </c>
      <c r="B45" s="113"/>
      <c r="C45" s="113" t="s">
        <v>952</v>
      </c>
      <c r="D45" s="117" t="s">
        <v>961</v>
      </c>
      <c r="E45" s="117" t="s">
        <v>1404</v>
      </c>
    </row>
    <row r="46" spans="1:5" x14ac:dyDescent="0.35">
      <c r="A46" s="112" t="s">
        <v>1050</v>
      </c>
      <c r="B46" s="113"/>
      <c r="C46" s="113" t="s">
        <v>835</v>
      </c>
      <c r="D46" s="117" t="s">
        <v>962</v>
      </c>
      <c r="E46" s="117" t="s">
        <v>1405</v>
      </c>
    </row>
    <row r="47" spans="1:5" x14ac:dyDescent="0.35">
      <c r="A47" s="118" t="s">
        <v>1115</v>
      </c>
      <c r="B47" s="117" t="s">
        <v>1406</v>
      </c>
      <c r="C47" s="117" t="s">
        <v>966</v>
      </c>
      <c r="D47" s="117" t="s">
        <v>967</v>
      </c>
      <c r="E47" s="117" t="s">
        <v>1407</v>
      </c>
    </row>
    <row r="48" spans="1:5" x14ac:dyDescent="0.35">
      <c r="A48" s="118" t="s">
        <v>1408</v>
      </c>
      <c r="C48" s="117" t="s">
        <v>966</v>
      </c>
      <c r="D48" s="117" t="s">
        <v>1410</v>
      </c>
      <c r="E48" s="117" t="s">
        <v>1409</v>
      </c>
    </row>
    <row r="49" spans="1:5" x14ac:dyDescent="0.35">
      <c r="A49" s="118" t="s">
        <v>1238</v>
      </c>
      <c r="C49" s="117" t="s">
        <v>954</v>
      </c>
      <c r="D49" s="117" t="s">
        <v>965</v>
      </c>
      <c r="E49" s="117" t="s">
        <v>1411</v>
      </c>
    </row>
    <row r="50" spans="1:5" x14ac:dyDescent="0.35">
      <c r="A50" s="112" t="s">
        <v>99</v>
      </c>
      <c r="B50" s="113"/>
      <c r="C50" s="113" t="s">
        <v>952</v>
      </c>
      <c r="D50" s="117" t="s">
        <v>961</v>
      </c>
      <c r="E50" s="117" t="s">
        <v>1412</v>
      </c>
    </row>
    <row r="51" spans="1:5" x14ac:dyDescent="0.35">
      <c r="A51" s="112" t="s">
        <v>930</v>
      </c>
      <c r="B51" s="113"/>
      <c r="C51" s="113" t="s">
        <v>952</v>
      </c>
      <c r="D51" s="117" t="s">
        <v>961</v>
      </c>
      <c r="E51" s="117" t="s">
        <v>1413</v>
      </c>
    </row>
    <row r="52" spans="1:5" x14ac:dyDescent="0.35">
      <c r="A52" s="112" t="s">
        <v>1051</v>
      </c>
      <c r="B52" s="113"/>
      <c r="C52" s="113" t="s">
        <v>952</v>
      </c>
      <c r="D52" s="117" t="s">
        <v>953</v>
      </c>
      <c r="E52" s="117" t="s">
        <v>1414</v>
      </c>
    </row>
    <row r="53" spans="1:5" x14ac:dyDescent="0.35">
      <c r="A53" s="112" t="s">
        <v>1052</v>
      </c>
      <c r="B53" s="113"/>
      <c r="C53" s="113" t="s">
        <v>954</v>
      </c>
      <c r="D53" s="117" t="s">
        <v>956</v>
      </c>
      <c r="E53" s="117" t="s">
        <v>1415</v>
      </c>
    </row>
    <row r="54" spans="1:5" x14ac:dyDescent="0.35">
      <c r="A54" s="112" t="s">
        <v>1053</v>
      </c>
      <c r="B54" s="113"/>
      <c r="C54" s="113" t="s">
        <v>952</v>
      </c>
      <c r="D54" s="117" t="s">
        <v>970</v>
      </c>
      <c r="E54" s="117" t="s">
        <v>1416</v>
      </c>
    </row>
    <row r="55" spans="1:5" x14ac:dyDescent="0.35">
      <c r="A55" s="112" t="s">
        <v>1054</v>
      </c>
      <c r="B55" s="113"/>
      <c r="C55" s="113" t="s">
        <v>954</v>
      </c>
      <c r="D55" s="117" t="s">
        <v>958</v>
      </c>
      <c r="E55" s="117" t="s">
        <v>1417</v>
      </c>
    </row>
    <row r="56" spans="1:5" x14ac:dyDescent="0.35">
      <c r="A56" s="118" t="s">
        <v>1418</v>
      </c>
      <c r="C56" s="117" t="s">
        <v>954</v>
      </c>
      <c r="D56" s="117" t="s">
        <v>965</v>
      </c>
      <c r="E56" s="117" t="s">
        <v>1419</v>
      </c>
    </row>
    <row r="57" spans="1:5" x14ac:dyDescent="0.35">
      <c r="A57" s="118" t="s">
        <v>1118</v>
      </c>
      <c r="C57" s="117" t="s">
        <v>966</v>
      </c>
      <c r="D57" s="117" t="s">
        <v>1410</v>
      </c>
      <c r="E57" s="117" t="s">
        <v>1420</v>
      </c>
    </row>
    <row r="58" spans="1:5" x14ac:dyDescent="0.35">
      <c r="A58" s="112" t="s">
        <v>1055</v>
      </c>
      <c r="B58" s="113"/>
      <c r="C58" s="113" t="s">
        <v>954</v>
      </c>
      <c r="D58" s="117" t="s">
        <v>1034</v>
      </c>
      <c r="E58" s="117" t="s">
        <v>1421</v>
      </c>
    </row>
    <row r="59" spans="1:5" x14ac:dyDescent="0.35">
      <c r="A59" s="112" t="s">
        <v>868</v>
      </c>
      <c r="B59" s="113"/>
      <c r="C59" s="113" t="s">
        <v>954</v>
      </c>
      <c r="D59" s="117" t="s">
        <v>965</v>
      </c>
      <c r="E59" s="117" t="s">
        <v>1422</v>
      </c>
    </row>
    <row r="60" spans="1:5" x14ac:dyDescent="0.35">
      <c r="A60" s="112" t="s">
        <v>944</v>
      </c>
      <c r="B60" s="113"/>
      <c r="C60" s="113" t="s">
        <v>963</v>
      </c>
      <c r="D60" s="117" t="s">
        <v>964</v>
      </c>
      <c r="E60" s="117" t="s">
        <v>1423</v>
      </c>
    </row>
    <row r="61" spans="1:5" x14ac:dyDescent="0.35">
      <c r="A61" s="118" t="s">
        <v>1123</v>
      </c>
      <c r="C61" s="117" t="s">
        <v>966</v>
      </c>
      <c r="D61" s="117" t="s">
        <v>1410</v>
      </c>
      <c r="E61" s="117" t="s">
        <v>1424</v>
      </c>
    </row>
    <row r="62" spans="1:5" x14ac:dyDescent="0.35">
      <c r="A62" s="118" t="s">
        <v>1425</v>
      </c>
      <c r="C62" s="117" t="s">
        <v>966</v>
      </c>
      <c r="D62" s="117" t="s">
        <v>1356</v>
      </c>
      <c r="E62" s="117" t="s">
        <v>1426</v>
      </c>
    </row>
    <row r="63" spans="1:5" x14ac:dyDescent="0.35">
      <c r="A63" s="112" t="s">
        <v>832</v>
      </c>
      <c r="B63" s="113"/>
      <c r="C63" s="113" t="s">
        <v>954</v>
      </c>
      <c r="D63" s="117" t="s">
        <v>958</v>
      </c>
      <c r="E63" s="117" t="s">
        <v>1427</v>
      </c>
    </row>
    <row r="64" spans="1:5" x14ac:dyDescent="0.35">
      <c r="A64" s="112" t="s">
        <v>1056</v>
      </c>
      <c r="B64" s="113"/>
      <c r="C64" s="113" t="s">
        <v>954</v>
      </c>
      <c r="D64" s="117" t="s">
        <v>955</v>
      </c>
      <c r="E64" s="117" t="s">
        <v>1428</v>
      </c>
    </row>
    <row r="65" spans="1:5" x14ac:dyDescent="0.35">
      <c r="A65" s="112" t="s">
        <v>150</v>
      </c>
      <c r="B65" s="113"/>
      <c r="C65" s="113" t="s">
        <v>835</v>
      </c>
      <c r="D65" s="117" t="s">
        <v>962</v>
      </c>
      <c r="E65" s="117" t="s">
        <v>1429</v>
      </c>
    </row>
    <row r="66" spans="1:5" x14ac:dyDescent="0.35">
      <c r="A66" s="118" t="s">
        <v>172</v>
      </c>
      <c r="C66" s="117" t="s">
        <v>966</v>
      </c>
      <c r="D66" s="117" t="s">
        <v>1356</v>
      </c>
      <c r="E66" s="117" t="s">
        <v>1430</v>
      </c>
    </row>
    <row r="67" spans="1:5" x14ac:dyDescent="0.35">
      <c r="A67" s="112" t="s">
        <v>55</v>
      </c>
      <c r="B67" s="113"/>
      <c r="C67" s="113" t="s">
        <v>954</v>
      </c>
      <c r="D67" s="117" t="s">
        <v>955</v>
      </c>
      <c r="E67" s="117" t="s">
        <v>1431</v>
      </c>
    </row>
    <row r="68" spans="1:5" x14ac:dyDescent="0.35">
      <c r="A68" s="118" t="s">
        <v>1126</v>
      </c>
      <c r="C68" s="117" t="s">
        <v>966</v>
      </c>
      <c r="D68" s="117" t="s">
        <v>1031</v>
      </c>
      <c r="E68" s="117" t="s">
        <v>1432</v>
      </c>
    </row>
    <row r="69" spans="1:5" x14ac:dyDescent="0.35">
      <c r="A69" s="118" t="s">
        <v>1433</v>
      </c>
      <c r="C69" s="117" t="s">
        <v>952</v>
      </c>
      <c r="D69" s="117" t="s">
        <v>961</v>
      </c>
      <c r="E69" s="117" t="s">
        <v>1434</v>
      </c>
    </row>
    <row r="70" spans="1:5" x14ac:dyDescent="0.35">
      <c r="A70" s="112" t="s">
        <v>1057</v>
      </c>
      <c r="B70" s="113"/>
      <c r="C70" s="113" t="s">
        <v>952</v>
      </c>
      <c r="D70" s="117" t="s">
        <v>970</v>
      </c>
      <c r="E70" s="117" t="s">
        <v>1435</v>
      </c>
    </row>
    <row r="71" spans="1:5" x14ac:dyDescent="0.35">
      <c r="A71" s="118" t="s">
        <v>1124</v>
      </c>
      <c r="C71" s="117" t="s">
        <v>954</v>
      </c>
      <c r="D71" s="117" t="s">
        <v>955</v>
      </c>
      <c r="E71" s="117" t="s">
        <v>1436</v>
      </c>
    </row>
    <row r="72" spans="1:5" x14ac:dyDescent="0.35">
      <c r="A72" s="118" t="s">
        <v>1437</v>
      </c>
      <c r="C72" s="117" t="s">
        <v>954</v>
      </c>
      <c r="D72" s="117" t="s">
        <v>955</v>
      </c>
      <c r="E72" s="117" t="s">
        <v>1438</v>
      </c>
    </row>
    <row r="73" spans="1:5" x14ac:dyDescent="0.35">
      <c r="A73" s="112" t="s">
        <v>1058</v>
      </c>
      <c r="B73" s="113"/>
      <c r="C73" s="113" t="s">
        <v>952</v>
      </c>
      <c r="D73" s="117" t="s">
        <v>953</v>
      </c>
      <c r="E73" s="117" t="s">
        <v>1439</v>
      </c>
    </row>
    <row r="74" spans="1:5" x14ac:dyDescent="0.35">
      <c r="A74" s="118" t="s">
        <v>1234</v>
      </c>
      <c r="C74" s="117" t="s">
        <v>952</v>
      </c>
      <c r="D74" s="117" t="s">
        <v>961</v>
      </c>
      <c r="E74" s="117" t="s">
        <v>1440</v>
      </c>
    </row>
    <row r="75" spans="1:5" x14ac:dyDescent="0.35">
      <c r="A75" s="112" t="s">
        <v>1059</v>
      </c>
      <c r="B75" s="113"/>
      <c r="C75" s="113" t="s">
        <v>952</v>
      </c>
      <c r="D75" s="117" t="s">
        <v>970</v>
      </c>
      <c r="E75" s="117" t="s">
        <v>1441</v>
      </c>
    </row>
    <row r="76" spans="1:5" x14ac:dyDescent="0.35">
      <c r="A76" s="118" t="s">
        <v>1442</v>
      </c>
      <c r="C76" s="117" t="s">
        <v>966</v>
      </c>
      <c r="D76" s="117" t="s">
        <v>967</v>
      </c>
      <c r="E76" s="117" t="s">
        <v>1443</v>
      </c>
    </row>
    <row r="77" spans="1:5" x14ac:dyDescent="0.35">
      <c r="A77" s="118" t="s">
        <v>1444</v>
      </c>
      <c r="C77" s="117" t="s">
        <v>966</v>
      </c>
      <c r="D77" s="117" t="s">
        <v>1410</v>
      </c>
      <c r="E77" s="117" t="s">
        <v>1445</v>
      </c>
    </row>
    <row r="78" spans="1:5" x14ac:dyDescent="0.35">
      <c r="A78" s="112" t="s">
        <v>1060</v>
      </c>
      <c r="B78" s="113"/>
      <c r="C78" s="113" t="s">
        <v>835</v>
      </c>
      <c r="D78" s="117" t="s">
        <v>960</v>
      </c>
      <c r="E78" s="117" t="s">
        <v>1446</v>
      </c>
    </row>
    <row r="79" spans="1:5" x14ac:dyDescent="0.35">
      <c r="A79" s="112" t="s">
        <v>579</v>
      </c>
      <c r="B79" s="113"/>
      <c r="C79" s="113" t="s">
        <v>835</v>
      </c>
      <c r="D79" s="117" t="s">
        <v>1044</v>
      </c>
      <c r="E79" s="117" t="s">
        <v>1447</v>
      </c>
    </row>
    <row r="80" spans="1:5" x14ac:dyDescent="0.35">
      <c r="A80" s="112" t="s">
        <v>1061</v>
      </c>
      <c r="B80" s="113" t="s">
        <v>1615</v>
      </c>
      <c r="C80" s="113" t="s">
        <v>835</v>
      </c>
      <c r="D80" s="117" t="s">
        <v>960</v>
      </c>
      <c r="E80" s="117" t="s">
        <v>1448</v>
      </c>
    </row>
    <row r="81" spans="1:5" x14ac:dyDescent="0.35">
      <c r="A81" s="112" t="s">
        <v>1062</v>
      </c>
      <c r="B81" s="113"/>
      <c r="C81" s="113" t="s">
        <v>835</v>
      </c>
      <c r="D81" s="117" t="s">
        <v>962</v>
      </c>
      <c r="E81" s="117" t="s">
        <v>1449</v>
      </c>
    </row>
    <row r="82" spans="1:5" x14ac:dyDescent="0.35">
      <c r="A82" s="118" t="s">
        <v>1450</v>
      </c>
      <c r="C82" s="117" t="s">
        <v>966</v>
      </c>
      <c r="D82" s="117" t="s">
        <v>1410</v>
      </c>
      <c r="E82" s="117" t="s">
        <v>1451</v>
      </c>
    </row>
    <row r="83" spans="1:5" x14ac:dyDescent="0.35">
      <c r="A83" s="112" t="s">
        <v>1063</v>
      </c>
      <c r="B83" s="113"/>
      <c r="C83" s="113" t="s">
        <v>835</v>
      </c>
      <c r="D83" s="117" t="s">
        <v>962</v>
      </c>
      <c r="E83" s="117" t="s">
        <v>1452</v>
      </c>
    </row>
    <row r="84" spans="1:5" x14ac:dyDescent="0.35">
      <c r="A84" s="118" t="s">
        <v>1453</v>
      </c>
      <c r="C84" s="117" t="s">
        <v>966</v>
      </c>
      <c r="D84" s="117" t="s">
        <v>1031</v>
      </c>
      <c r="E84" s="117" t="s">
        <v>1454</v>
      </c>
    </row>
    <row r="85" spans="1:5" x14ac:dyDescent="0.35">
      <c r="A85" s="112" t="s">
        <v>1064</v>
      </c>
      <c r="B85" s="113"/>
      <c r="C85" s="113" t="s">
        <v>952</v>
      </c>
      <c r="D85" s="117" t="s">
        <v>961</v>
      </c>
      <c r="E85" s="117" t="s">
        <v>1455</v>
      </c>
    </row>
    <row r="86" spans="1:5" x14ac:dyDescent="0.35">
      <c r="A86" s="118" t="s">
        <v>187</v>
      </c>
      <c r="C86" s="117" t="s">
        <v>835</v>
      </c>
      <c r="D86" s="117" t="s">
        <v>957</v>
      </c>
      <c r="E86" s="117" t="s">
        <v>1456</v>
      </c>
    </row>
    <row r="87" spans="1:5" x14ac:dyDescent="0.35">
      <c r="A87" s="112" t="s">
        <v>1065</v>
      </c>
      <c r="B87" s="113"/>
      <c r="C87" s="113" t="s">
        <v>835</v>
      </c>
      <c r="D87" s="117" t="s">
        <v>962</v>
      </c>
      <c r="E87" s="117" t="s">
        <v>1457</v>
      </c>
    </row>
    <row r="88" spans="1:5" x14ac:dyDescent="0.35">
      <c r="A88" s="118" t="s">
        <v>1458</v>
      </c>
      <c r="C88" s="117" t="s">
        <v>835</v>
      </c>
      <c r="D88" s="117" t="s">
        <v>972</v>
      </c>
      <c r="E88" s="117" t="s">
        <v>1459</v>
      </c>
    </row>
    <row r="89" spans="1:5" x14ac:dyDescent="0.35">
      <c r="A89" s="112" t="s">
        <v>565</v>
      </c>
      <c r="B89" s="113"/>
      <c r="C89" s="113" t="s">
        <v>954</v>
      </c>
      <c r="D89" s="117" t="s">
        <v>965</v>
      </c>
      <c r="E89" s="117" t="s">
        <v>1460</v>
      </c>
    </row>
    <row r="90" spans="1:5" x14ac:dyDescent="0.35">
      <c r="A90" s="118" t="s">
        <v>1461</v>
      </c>
      <c r="C90" s="117" t="s">
        <v>963</v>
      </c>
      <c r="D90" s="117" t="s">
        <v>971</v>
      </c>
      <c r="E90" s="117" t="s">
        <v>1462</v>
      </c>
    </row>
    <row r="91" spans="1:5" x14ac:dyDescent="0.35">
      <c r="A91" s="118" t="s">
        <v>1465</v>
      </c>
      <c r="C91" s="117" t="s">
        <v>966</v>
      </c>
      <c r="D91" s="117" t="s">
        <v>1031</v>
      </c>
      <c r="E91" s="117" t="s">
        <v>1466</v>
      </c>
    </row>
    <row r="92" spans="1:5" x14ac:dyDescent="0.35">
      <c r="A92" s="112" t="s">
        <v>1066</v>
      </c>
      <c r="B92" s="113"/>
      <c r="C92" s="113" t="s">
        <v>835</v>
      </c>
      <c r="D92" s="117" t="s">
        <v>962</v>
      </c>
      <c r="E92" s="117" t="s">
        <v>1467</v>
      </c>
    </row>
    <row r="93" spans="1:5" x14ac:dyDescent="0.35">
      <c r="A93" s="112" t="s">
        <v>1067</v>
      </c>
      <c r="B93" s="113"/>
      <c r="C93" s="113" t="s">
        <v>835</v>
      </c>
      <c r="D93" s="117" t="s">
        <v>972</v>
      </c>
      <c r="E93" s="117" t="s">
        <v>1468</v>
      </c>
    </row>
    <row r="94" spans="1:5" x14ac:dyDescent="0.35">
      <c r="A94" s="112" t="s">
        <v>959</v>
      </c>
      <c r="B94" s="113" t="s">
        <v>1616</v>
      </c>
      <c r="C94" s="113" t="s">
        <v>835</v>
      </c>
      <c r="D94" s="117" t="s">
        <v>1044</v>
      </c>
      <c r="E94" s="117" t="s">
        <v>1469</v>
      </c>
    </row>
    <row r="95" spans="1:5" x14ac:dyDescent="0.35">
      <c r="A95" s="118" t="s">
        <v>1470</v>
      </c>
      <c r="C95" s="117" t="s">
        <v>966</v>
      </c>
      <c r="D95" s="117" t="s">
        <v>1410</v>
      </c>
      <c r="E95" s="117" t="s">
        <v>1471</v>
      </c>
    </row>
    <row r="96" spans="1:5" x14ac:dyDescent="0.35">
      <c r="A96" s="112" t="s">
        <v>1068</v>
      </c>
      <c r="B96" s="113"/>
      <c r="C96" s="113" t="s">
        <v>835</v>
      </c>
      <c r="D96" s="117" t="s">
        <v>962</v>
      </c>
      <c r="E96" s="117" t="s">
        <v>1472</v>
      </c>
    </row>
    <row r="97" spans="1:5" x14ac:dyDescent="0.35">
      <c r="A97" s="112" t="s">
        <v>1069</v>
      </c>
      <c r="B97" s="113"/>
      <c r="C97" s="113" t="s">
        <v>954</v>
      </c>
      <c r="D97" s="117" t="s">
        <v>1034</v>
      </c>
      <c r="E97" s="117" t="s">
        <v>1473</v>
      </c>
    </row>
    <row r="98" spans="1:5" x14ac:dyDescent="0.35">
      <c r="A98" s="112" t="s">
        <v>1070</v>
      </c>
      <c r="B98" s="113"/>
      <c r="C98" s="113" t="s">
        <v>954</v>
      </c>
      <c r="D98" s="117" t="s">
        <v>955</v>
      </c>
      <c r="E98" s="117" t="s">
        <v>1474</v>
      </c>
    </row>
    <row r="99" spans="1:5" x14ac:dyDescent="0.35">
      <c r="A99" s="112" t="s">
        <v>1071</v>
      </c>
      <c r="B99" s="113"/>
      <c r="C99" s="113" t="s">
        <v>954</v>
      </c>
      <c r="D99" s="117" t="s">
        <v>956</v>
      </c>
      <c r="E99" s="117" t="s">
        <v>1475</v>
      </c>
    </row>
    <row r="100" spans="1:5" x14ac:dyDescent="0.35">
      <c r="A100" s="118" t="s">
        <v>1267</v>
      </c>
      <c r="C100" s="117" t="s">
        <v>966</v>
      </c>
      <c r="D100" s="117" t="s">
        <v>1356</v>
      </c>
      <c r="E100" s="117" t="s">
        <v>1476</v>
      </c>
    </row>
    <row r="101" spans="1:5" x14ac:dyDescent="0.35">
      <c r="A101" s="118" t="s">
        <v>1477</v>
      </c>
      <c r="C101" s="117" t="s">
        <v>966</v>
      </c>
      <c r="D101" s="117" t="s">
        <v>1410</v>
      </c>
      <c r="E101" s="117" t="s">
        <v>1478</v>
      </c>
    </row>
    <row r="102" spans="1:5" x14ac:dyDescent="0.35">
      <c r="A102" s="118" t="s">
        <v>1479</v>
      </c>
      <c r="C102" s="117" t="s">
        <v>966</v>
      </c>
      <c r="D102" s="117" t="s">
        <v>1356</v>
      </c>
      <c r="E102" s="117" t="s">
        <v>1480</v>
      </c>
    </row>
    <row r="103" spans="1:5" x14ac:dyDescent="0.35">
      <c r="A103" s="112" t="s">
        <v>1072</v>
      </c>
      <c r="B103" s="113"/>
      <c r="C103" s="113" t="s">
        <v>954</v>
      </c>
      <c r="D103" s="117" t="s">
        <v>965</v>
      </c>
      <c r="E103" s="117" t="s">
        <v>1481</v>
      </c>
    </row>
    <row r="104" spans="1:5" x14ac:dyDescent="0.35">
      <c r="A104" s="112" t="s">
        <v>92</v>
      </c>
      <c r="B104" s="113"/>
      <c r="C104" s="113" t="s">
        <v>954</v>
      </c>
      <c r="D104" s="117" t="s">
        <v>965</v>
      </c>
      <c r="E104" s="117" t="s">
        <v>1482</v>
      </c>
    </row>
    <row r="105" spans="1:5" x14ac:dyDescent="0.35">
      <c r="A105" s="112" t="s">
        <v>1073</v>
      </c>
      <c r="B105" s="113"/>
      <c r="C105" s="113" t="s">
        <v>835</v>
      </c>
      <c r="D105" s="117" t="s">
        <v>1044</v>
      </c>
      <c r="E105" s="117" t="s">
        <v>1483</v>
      </c>
    </row>
    <row r="106" spans="1:5" x14ac:dyDescent="0.35">
      <c r="A106" s="112" t="s">
        <v>454</v>
      </c>
      <c r="B106" s="113"/>
      <c r="C106" s="113" t="s">
        <v>835</v>
      </c>
      <c r="D106" s="117" t="s">
        <v>960</v>
      </c>
      <c r="E106" s="117" t="s">
        <v>1484</v>
      </c>
    </row>
    <row r="107" spans="1:5" x14ac:dyDescent="0.35">
      <c r="A107" s="112" t="s">
        <v>1074</v>
      </c>
      <c r="B107" s="113"/>
      <c r="C107" s="113" t="s">
        <v>954</v>
      </c>
      <c r="D107" s="117" t="s">
        <v>955</v>
      </c>
      <c r="E107" s="117" t="s">
        <v>1485</v>
      </c>
    </row>
    <row r="108" spans="1:5" x14ac:dyDescent="0.35">
      <c r="A108" s="112" t="s">
        <v>1075</v>
      </c>
      <c r="B108" s="113"/>
      <c r="C108" s="113" t="s">
        <v>966</v>
      </c>
      <c r="D108" s="117" t="s">
        <v>1031</v>
      </c>
      <c r="E108" s="117" t="s">
        <v>1486</v>
      </c>
    </row>
    <row r="109" spans="1:5" x14ac:dyDescent="0.35">
      <c r="A109" s="118" t="s">
        <v>1487</v>
      </c>
      <c r="C109" s="117" t="s">
        <v>963</v>
      </c>
      <c r="D109" s="117" t="s">
        <v>971</v>
      </c>
      <c r="E109" s="117" t="s">
        <v>1488</v>
      </c>
    </row>
    <row r="110" spans="1:5" x14ac:dyDescent="0.35">
      <c r="A110" s="118" t="s">
        <v>1489</v>
      </c>
      <c r="C110" s="117" t="s">
        <v>954</v>
      </c>
      <c r="D110" s="117" t="s">
        <v>955</v>
      </c>
      <c r="E110" s="117" t="s">
        <v>1490</v>
      </c>
    </row>
    <row r="111" spans="1:5" x14ac:dyDescent="0.35">
      <c r="A111" s="112" t="s">
        <v>1076</v>
      </c>
      <c r="B111" s="113"/>
      <c r="C111" s="113" t="s">
        <v>954</v>
      </c>
      <c r="D111" s="117" t="s">
        <v>965</v>
      </c>
      <c r="E111" s="117" t="s">
        <v>1491</v>
      </c>
    </row>
    <row r="112" spans="1:5" x14ac:dyDescent="0.35">
      <c r="A112" s="112" t="s">
        <v>887</v>
      </c>
      <c r="B112" s="113"/>
      <c r="C112" s="113" t="s">
        <v>952</v>
      </c>
      <c r="D112" s="117" t="s">
        <v>970</v>
      </c>
      <c r="E112" s="117" t="s">
        <v>1492</v>
      </c>
    </row>
    <row r="113" spans="1:5" x14ac:dyDescent="0.35">
      <c r="A113" s="118" t="s">
        <v>971</v>
      </c>
      <c r="B113" s="117" t="s">
        <v>1617</v>
      </c>
      <c r="C113" s="117" t="s">
        <v>963</v>
      </c>
      <c r="D113" s="117" t="s">
        <v>971</v>
      </c>
      <c r="E113" s="117" t="s">
        <v>1493</v>
      </c>
    </row>
    <row r="114" spans="1:5" x14ac:dyDescent="0.35">
      <c r="A114" s="112" t="s">
        <v>911</v>
      </c>
      <c r="B114" s="117" t="s">
        <v>1619</v>
      </c>
      <c r="C114" s="113" t="s">
        <v>966</v>
      </c>
      <c r="D114" s="117" t="s">
        <v>967</v>
      </c>
      <c r="E114" s="117" t="s">
        <v>1494</v>
      </c>
    </row>
    <row r="115" spans="1:5" x14ac:dyDescent="0.35">
      <c r="A115" s="118" t="s">
        <v>1495</v>
      </c>
      <c r="C115" s="117" t="s">
        <v>966</v>
      </c>
      <c r="D115" s="117" t="s">
        <v>1356</v>
      </c>
      <c r="E115" s="117" t="s">
        <v>1496</v>
      </c>
    </row>
    <row r="116" spans="1:5" x14ac:dyDescent="0.35">
      <c r="A116" s="112" t="s">
        <v>466</v>
      </c>
      <c r="B116" s="113"/>
      <c r="C116" s="113" t="s">
        <v>835</v>
      </c>
      <c r="D116" s="117" t="s">
        <v>957</v>
      </c>
      <c r="E116" s="117" t="s">
        <v>1497</v>
      </c>
    </row>
    <row r="117" spans="1:5" x14ac:dyDescent="0.35">
      <c r="A117" s="112" t="s">
        <v>1077</v>
      </c>
      <c r="B117" s="113"/>
      <c r="C117" s="113" t="s">
        <v>966</v>
      </c>
      <c r="D117" s="117" t="s">
        <v>1031</v>
      </c>
      <c r="E117" s="117" t="s">
        <v>1498</v>
      </c>
    </row>
    <row r="118" spans="1:5" x14ac:dyDescent="0.35">
      <c r="A118" s="112" t="s">
        <v>80</v>
      </c>
      <c r="B118" s="113"/>
      <c r="C118" s="113" t="s">
        <v>954</v>
      </c>
      <c r="D118" s="117" t="s">
        <v>956</v>
      </c>
      <c r="E118" s="117" t="s">
        <v>1499</v>
      </c>
    </row>
    <row r="119" spans="1:5" x14ac:dyDescent="0.35">
      <c r="A119" s="112" t="s">
        <v>1078</v>
      </c>
      <c r="B119" s="113"/>
      <c r="C119" s="113" t="s">
        <v>954</v>
      </c>
      <c r="D119" s="117" t="s">
        <v>965</v>
      </c>
      <c r="E119" s="117" t="s">
        <v>1500</v>
      </c>
    </row>
    <row r="120" spans="1:5" x14ac:dyDescent="0.35">
      <c r="A120" s="112" t="s">
        <v>496</v>
      </c>
      <c r="B120" s="113"/>
      <c r="C120" s="113" t="s">
        <v>835</v>
      </c>
      <c r="D120" s="117" t="s">
        <v>1044</v>
      </c>
      <c r="E120" s="117" t="s">
        <v>1501</v>
      </c>
    </row>
    <row r="121" spans="1:5" x14ac:dyDescent="0.35">
      <c r="A121" s="112" t="s">
        <v>1079</v>
      </c>
      <c r="B121" s="113"/>
      <c r="C121" s="113" t="s">
        <v>954</v>
      </c>
      <c r="D121" s="117" t="s">
        <v>1034</v>
      </c>
      <c r="E121" s="117" t="s">
        <v>1502</v>
      </c>
    </row>
    <row r="122" spans="1:5" x14ac:dyDescent="0.35">
      <c r="A122" s="118" t="s">
        <v>1503</v>
      </c>
      <c r="C122" s="117" t="s">
        <v>963</v>
      </c>
      <c r="D122" s="117" t="s">
        <v>971</v>
      </c>
      <c r="E122" s="117" t="s">
        <v>1504</v>
      </c>
    </row>
    <row r="123" spans="1:5" x14ac:dyDescent="0.35">
      <c r="A123" s="112" t="s">
        <v>924</v>
      </c>
      <c r="B123" s="113"/>
      <c r="C123" s="113" t="s">
        <v>835</v>
      </c>
      <c r="D123" s="117" t="s">
        <v>960</v>
      </c>
      <c r="E123" s="117" t="s">
        <v>1505</v>
      </c>
    </row>
    <row r="124" spans="1:5" x14ac:dyDescent="0.35">
      <c r="A124" s="118" t="s">
        <v>1506</v>
      </c>
      <c r="C124" s="117" t="s">
        <v>966</v>
      </c>
      <c r="D124" s="117" t="s">
        <v>1356</v>
      </c>
      <c r="E124" s="117" t="s">
        <v>1507</v>
      </c>
    </row>
    <row r="125" spans="1:5" x14ac:dyDescent="0.35">
      <c r="A125" s="118" t="s">
        <v>951</v>
      </c>
      <c r="C125" s="117" t="s">
        <v>963</v>
      </c>
      <c r="D125" s="117" t="s">
        <v>1632</v>
      </c>
      <c r="E125" s="117" t="s">
        <v>1508</v>
      </c>
    </row>
    <row r="126" spans="1:5" x14ac:dyDescent="0.35">
      <c r="A126" s="112" t="s">
        <v>1080</v>
      </c>
      <c r="B126" s="113"/>
      <c r="C126" s="113" t="s">
        <v>952</v>
      </c>
      <c r="D126" s="117" t="s">
        <v>970</v>
      </c>
      <c r="E126" s="117" t="s">
        <v>1509</v>
      </c>
    </row>
    <row r="127" spans="1:5" x14ac:dyDescent="0.35">
      <c r="A127" s="112" t="s">
        <v>1081</v>
      </c>
      <c r="B127" s="113"/>
      <c r="C127" s="113" t="s">
        <v>954</v>
      </c>
      <c r="D127" s="117" t="s">
        <v>955</v>
      </c>
      <c r="E127" s="117" t="s">
        <v>1510</v>
      </c>
    </row>
    <row r="128" spans="1:5" x14ac:dyDescent="0.35">
      <c r="A128" s="112" t="s">
        <v>976</v>
      </c>
      <c r="B128" s="113"/>
      <c r="C128" s="113" t="s">
        <v>954</v>
      </c>
      <c r="D128" s="117" t="s">
        <v>955</v>
      </c>
      <c r="E128" s="117" t="s">
        <v>1511</v>
      </c>
    </row>
    <row r="129" spans="1:5" x14ac:dyDescent="0.35">
      <c r="A129" s="112" t="s">
        <v>1082</v>
      </c>
      <c r="B129" s="117" t="s">
        <v>1611</v>
      </c>
      <c r="C129" s="113" t="s">
        <v>835</v>
      </c>
      <c r="D129" s="117" t="s">
        <v>957</v>
      </c>
      <c r="E129" s="117" t="s">
        <v>1463</v>
      </c>
    </row>
    <row r="130" spans="1:5" x14ac:dyDescent="0.35">
      <c r="A130" s="112" t="s">
        <v>1512</v>
      </c>
      <c r="B130" s="113"/>
      <c r="C130" s="113" t="s">
        <v>966</v>
      </c>
      <c r="D130" s="117" t="s">
        <v>1031</v>
      </c>
      <c r="E130" s="117" t="s">
        <v>1513</v>
      </c>
    </row>
    <row r="131" spans="1:5" x14ac:dyDescent="0.35">
      <c r="A131" s="118" t="s">
        <v>1151</v>
      </c>
      <c r="C131" s="117" t="s">
        <v>966</v>
      </c>
      <c r="D131" s="117" t="s">
        <v>1410</v>
      </c>
      <c r="E131" s="117" t="s">
        <v>1514</v>
      </c>
    </row>
    <row r="132" spans="1:5" x14ac:dyDescent="0.35">
      <c r="A132" s="112" t="s">
        <v>1083</v>
      </c>
      <c r="B132" s="113"/>
      <c r="C132" s="113" t="s">
        <v>835</v>
      </c>
      <c r="D132" s="117" t="s">
        <v>962</v>
      </c>
      <c r="E132" s="117" t="s">
        <v>1515</v>
      </c>
    </row>
    <row r="133" spans="1:5" x14ac:dyDescent="0.35">
      <c r="A133" s="112" t="s">
        <v>1084</v>
      </c>
      <c r="B133" s="113" t="s">
        <v>1268</v>
      </c>
      <c r="C133" s="113" t="s">
        <v>835</v>
      </c>
      <c r="D133" s="117" t="s">
        <v>960</v>
      </c>
      <c r="E133" s="117" t="s">
        <v>1516</v>
      </c>
    </row>
    <row r="134" spans="1:5" x14ac:dyDescent="0.35">
      <c r="A134" s="112" t="s">
        <v>410</v>
      </c>
      <c r="B134" s="113"/>
      <c r="C134" s="113" t="s">
        <v>963</v>
      </c>
      <c r="D134" s="117" t="s">
        <v>971</v>
      </c>
      <c r="E134" s="117" t="s">
        <v>1517</v>
      </c>
    </row>
    <row r="135" spans="1:5" x14ac:dyDescent="0.35">
      <c r="A135" s="112" t="s">
        <v>1085</v>
      </c>
      <c r="B135" s="113"/>
      <c r="C135" s="113" t="s">
        <v>952</v>
      </c>
      <c r="D135" s="117" t="s">
        <v>970</v>
      </c>
      <c r="E135" s="117" t="s">
        <v>1518</v>
      </c>
    </row>
    <row r="136" spans="1:5" x14ac:dyDescent="0.35">
      <c r="A136" s="112" t="s">
        <v>813</v>
      </c>
      <c r="B136" s="113"/>
      <c r="C136" s="113" t="s">
        <v>963</v>
      </c>
      <c r="D136" s="117" t="s">
        <v>964</v>
      </c>
      <c r="E136" s="117" t="s">
        <v>1519</v>
      </c>
    </row>
    <row r="137" spans="1:5" x14ac:dyDescent="0.35">
      <c r="A137" s="112" t="s">
        <v>1086</v>
      </c>
      <c r="B137" s="113"/>
      <c r="C137" s="113" t="s">
        <v>952</v>
      </c>
      <c r="D137" s="117" t="s">
        <v>953</v>
      </c>
      <c r="E137" s="117" t="s">
        <v>1520</v>
      </c>
    </row>
    <row r="138" spans="1:5" x14ac:dyDescent="0.35">
      <c r="A138" s="112" t="s">
        <v>69</v>
      </c>
      <c r="B138" s="113"/>
      <c r="C138" s="113" t="s">
        <v>952</v>
      </c>
      <c r="D138" s="117" t="s">
        <v>953</v>
      </c>
      <c r="E138" s="117" t="s">
        <v>1521</v>
      </c>
    </row>
    <row r="139" spans="1:5" x14ac:dyDescent="0.35">
      <c r="A139" s="112" t="s">
        <v>434</v>
      </c>
      <c r="B139" s="113"/>
      <c r="C139" s="113" t="s">
        <v>835</v>
      </c>
      <c r="D139" s="117" t="s">
        <v>1044</v>
      </c>
      <c r="E139" s="117" t="s">
        <v>1522</v>
      </c>
    </row>
    <row r="140" spans="1:5" x14ac:dyDescent="0.35">
      <c r="A140" s="118" t="s">
        <v>1523</v>
      </c>
      <c r="C140" s="117" t="s">
        <v>966</v>
      </c>
      <c r="D140" s="117" t="s">
        <v>967</v>
      </c>
      <c r="E140" s="117" t="s">
        <v>1524</v>
      </c>
    </row>
    <row r="141" spans="1:5" x14ac:dyDescent="0.35">
      <c r="A141" s="118" t="s">
        <v>1525</v>
      </c>
      <c r="C141" s="117" t="s">
        <v>966</v>
      </c>
      <c r="D141" s="117" t="s">
        <v>1031</v>
      </c>
      <c r="E141" s="117" t="s">
        <v>1526</v>
      </c>
    </row>
    <row r="142" spans="1:5" x14ac:dyDescent="0.35">
      <c r="A142" s="112" t="s">
        <v>1087</v>
      </c>
      <c r="B142" s="113"/>
      <c r="C142" s="113" t="s">
        <v>835</v>
      </c>
      <c r="D142" s="117" t="s">
        <v>962</v>
      </c>
      <c r="E142" s="117" t="s">
        <v>1527</v>
      </c>
    </row>
    <row r="143" spans="1:5" x14ac:dyDescent="0.35">
      <c r="A143" s="118" t="s">
        <v>1528</v>
      </c>
      <c r="C143" s="117" t="s">
        <v>966</v>
      </c>
      <c r="D143" s="117" t="s">
        <v>967</v>
      </c>
      <c r="E143" s="117" t="s">
        <v>1529</v>
      </c>
    </row>
    <row r="144" spans="1:5" x14ac:dyDescent="0.35">
      <c r="A144" s="118" t="s">
        <v>1530</v>
      </c>
      <c r="B144" s="117" t="s">
        <v>1620</v>
      </c>
      <c r="C144" s="117" t="s">
        <v>966</v>
      </c>
      <c r="D144" s="117" t="s">
        <v>967</v>
      </c>
      <c r="E144" s="117" t="s">
        <v>1531</v>
      </c>
    </row>
    <row r="145" spans="1:5" x14ac:dyDescent="0.35">
      <c r="A145" s="112" t="s">
        <v>1088</v>
      </c>
      <c r="B145" s="113"/>
      <c r="C145" s="113" t="s">
        <v>954</v>
      </c>
      <c r="D145" s="117" t="s">
        <v>965</v>
      </c>
      <c r="E145" s="117" t="s">
        <v>1532</v>
      </c>
    </row>
    <row r="146" spans="1:5" x14ac:dyDescent="0.35">
      <c r="A146" s="118" t="s">
        <v>1533</v>
      </c>
      <c r="C146" s="117" t="s">
        <v>952</v>
      </c>
      <c r="D146" s="117" t="s">
        <v>961</v>
      </c>
      <c r="E146" s="117" t="s">
        <v>1534</v>
      </c>
    </row>
    <row r="147" spans="1:5" x14ac:dyDescent="0.35">
      <c r="A147" s="118" t="s">
        <v>1535</v>
      </c>
      <c r="C147" s="117" t="s">
        <v>952</v>
      </c>
      <c r="D147" s="117" t="s">
        <v>961</v>
      </c>
      <c r="E147" s="117" t="s">
        <v>1536</v>
      </c>
    </row>
    <row r="148" spans="1:5" x14ac:dyDescent="0.35">
      <c r="A148" s="118" t="s">
        <v>1537</v>
      </c>
      <c r="C148" s="117" t="s">
        <v>952</v>
      </c>
      <c r="D148" s="117" t="s">
        <v>961</v>
      </c>
      <c r="E148" s="117" t="s">
        <v>1538</v>
      </c>
    </row>
    <row r="149" spans="1:5" x14ac:dyDescent="0.35">
      <c r="A149" s="118" t="s">
        <v>1539</v>
      </c>
      <c r="C149" s="117" t="s">
        <v>963</v>
      </c>
      <c r="D149" s="117" t="s">
        <v>1541</v>
      </c>
      <c r="E149" s="117" t="s">
        <v>1540</v>
      </c>
    </row>
    <row r="150" spans="1:5" x14ac:dyDescent="0.35">
      <c r="A150" s="118" t="s">
        <v>1542</v>
      </c>
      <c r="C150" s="117" t="s">
        <v>966</v>
      </c>
      <c r="D150" s="117" t="s">
        <v>1031</v>
      </c>
      <c r="E150" s="117" t="s">
        <v>1543</v>
      </c>
    </row>
    <row r="151" spans="1:5" x14ac:dyDescent="0.35">
      <c r="A151" s="118" t="s">
        <v>1544</v>
      </c>
      <c r="C151" s="117" t="s">
        <v>954</v>
      </c>
      <c r="D151" s="117" t="s">
        <v>958</v>
      </c>
      <c r="E151" s="117" t="s">
        <v>1545</v>
      </c>
    </row>
    <row r="152" spans="1:5" x14ac:dyDescent="0.35">
      <c r="A152" s="112" t="s">
        <v>403</v>
      </c>
      <c r="B152" s="113"/>
      <c r="C152" s="113" t="s">
        <v>835</v>
      </c>
      <c r="D152" s="117" t="s">
        <v>962</v>
      </c>
      <c r="E152" s="117" t="s">
        <v>1546</v>
      </c>
    </row>
    <row r="153" spans="1:5" x14ac:dyDescent="0.35">
      <c r="A153" s="112" t="s">
        <v>33</v>
      </c>
      <c r="B153" s="113"/>
      <c r="C153" s="113" t="s">
        <v>954</v>
      </c>
      <c r="D153" s="117" t="s">
        <v>955</v>
      </c>
      <c r="E153" s="117" t="s">
        <v>1547</v>
      </c>
    </row>
    <row r="154" spans="1:5" x14ac:dyDescent="0.35">
      <c r="A154" s="112" t="s">
        <v>1089</v>
      </c>
      <c r="B154" s="113"/>
      <c r="C154" s="113" t="s">
        <v>966</v>
      </c>
      <c r="D154" s="117" t="s">
        <v>1031</v>
      </c>
      <c r="E154" s="117" t="s">
        <v>1548</v>
      </c>
    </row>
    <row r="155" spans="1:5" x14ac:dyDescent="0.35">
      <c r="A155" s="118" t="s">
        <v>1136</v>
      </c>
      <c r="C155" s="117" t="s">
        <v>954</v>
      </c>
      <c r="D155" s="117" t="s">
        <v>965</v>
      </c>
      <c r="E155" s="117" t="s">
        <v>1549</v>
      </c>
    </row>
    <row r="156" spans="1:5" x14ac:dyDescent="0.35">
      <c r="A156" s="112" t="s">
        <v>1090</v>
      </c>
      <c r="B156" s="113"/>
      <c r="C156" s="113" t="s">
        <v>954</v>
      </c>
      <c r="D156" s="117" t="s">
        <v>955</v>
      </c>
      <c r="E156" s="117" t="s">
        <v>1550</v>
      </c>
    </row>
    <row r="157" spans="1:5" x14ac:dyDescent="0.35">
      <c r="A157" s="112" t="s">
        <v>810</v>
      </c>
      <c r="B157" s="113"/>
      <c r="C157" s="113" t="s">
        <v>835</v>
      </c>
      <c r="D157" s="117" t="s">
        <v>1044</v>
      </c>
      <c r="E157" s="117" t="s">
        <v>1551</v>
      </c>
    </row>
    <row r="158" spans="1:5" x14ac:dyDescent="0.35">
      <c r="A158" s="118" t="s">
        <v>1552</v>
      </c>
      <c r="C158" s="117" t="s">
        <v>966</v>
      </c>
      <c r="D158" s="117" t="s">
        <v>967</v>
      </c>
      <c r="E158" s="117" t="s">
        <v>1553</v>
      </c>
    </row>
    <row r="159" spans="1:5" x14ac:dyDescent="0.35">
      <c r="A159" s="118" t="s">
        <v>1554</v>
      </c>
      <c r="C159" s="117" t="s">
        <v>966</v>
      </c>
      <c r="D159" s="117" t="s">
        <v>1031</v>
      </c>
      <c r="E159" s="117" t="s">
        <v>1555</v>
      </c>
    </row>
    <row r="160" spans="1:5" x14ac:dyDescent="0.35">
      <c r="A160" s="118" t="s">
        <v>1556</v>
      </c>
      <c r="C160" s="117" t="s">
        <v>963</v>
      </c>
      <c r="D160" s="117" t="s">
        <v>964</v>
      </c>
      <c r="E160" s="117" t="s">
        <v>1557</v>
      </c>
    </row>
    <row r="161" spans="1:5" x14ac:dyDescent="0.35">
      <c r="A161" s="118" t="s">
        <v>1239</v>
      </c>
      <c r="C161" s="117" t="s">
        <v>954</v>
      </c>
      <c r="D161" s="117" t="s">
        <v>965</v>
      </c>
      <c r="E161" s="117" t="s">
        <v>1558</v>
      </c>
    </row>
    <row r="162" spans="1:5" x14ac:dyDescent="0.35">
      <c r="A162" s="112" t="s">
        <v>1091</v>
      </c>
      <c r="B162" s="113"/>
      <c r="C162" s="113" t="s">
        <v>954</v>
      </c>
      <c r="D162" s="117" t="s">
        <v>1034</v>
      </c>
      <c r="E162" s="117" t="s">
        <v>1559</v>
      </c>
    </row>
    <row r="163" spans="1:5" x14ac:dyDescent="0.35">
      <c r="A163" s="112" t="s">
        <v>827</v>
      </c>
      <c r="B163" s="113" t="s">
        <v>1133</v>
      </c>
      <c r="C163" s="113" t="s">
        <v>835</v>
      </c>
      <c r="D163" s="117" t="s">
        <v>957</v>
      </c>
      <c r="E163" s="117" t="s">
        <v>1464</v>
      </c>
    </row>
    <row r="164" spans="1:5" x14ac:dyDescent="0.35">
      <c r="A164" s="118" t="s">
        <v>1560</v>
      </c>
      <c r="C164" s="117" t="s">
        <v>954</v>
      </c>
      <c r="D164" s="117" t="s">
        <v>965</v>
      </c>
      <c r="E164" s="117" t="s">
        <v>1561</v>
      </c>
    </row>
    <row r="165" spans="1:5" x14ac:dyDescent="0.35">
      <c r="A165" s="118" t="s">
        <v>1562</v>
      </c>
      <c r="C165" s="117" t="s">
        <v>966</v>
      </c>
      <c r="D165" s="117" t="s">
        <v>1031</v>
      </c>
      <c r="E165" s="117" t="s">
        <v>1563</v>
      </c>
    </row>
    <row r="166" spans="1:5" x14ac:dyDescent="0.35">
      <c r="A166" s="112" t="s">
        <v>916</v>
      </c>
      <c r="B166" s="113"/>
      <c r="C166" s="113" t="s">
        <v>835</v>
      </c>
      <c r="D166" s="117" t="s">
        <v>960</v>
      </c>
      <c r="E166" s="117" t="s">
        <v>1564</v>
      </c>
    </row>
    <row r="167" spans="1:5" x14ac:dyDescent="0.35">
      <c r="A167" s="112" t="s">
        <v>1092</v>
      </c>
      <c r="B167" s="113"/>
      <c r="C167" s="113" t="s">
        <v>954</v>
      </c>
      <c r="D167" s="117" t="s">
        <v>956</v>
      </c>
      <c r="E167" s="117" t="s">
        <v>1565</v>
      </c>
    </row>
    <row r="168" spans="1:5" x14ac:dyDescent="0.35">
      <c r="A168" s="118" t="s">
        <v>1566</v>
      </c>
      <c r="C168" s="117" t="s">
        <v>952</v>
      </c>
      <c r="D168" s="117" t="s">
        <v>953</v>
      </c>
      <c r="E168" s="117" t="s">
        <v>1567</v>
      </c>
    </row>
    <row r="169" spans="1:5" x14ac:dyDescent="0.35">
      <c r="A169" s="118" t="s">
        <v>925</v>
      </c>
      <c r="C169" s="117" t="s">
        <v>966</v>
      </c>
      <c r="D169" s="117" t="s">
        <v>1410</v>
      </c>
      <c r="E169" s="117" t="s">
        <v>1568</v>
      </c>
    </row>
    <row r="170" spans="1:5" x14ac:dyDescent="0.35">
      <c r="A170" s="118" t="s">
        <v>27</v>
      </c>
      <c r="C170" s="117" t="s">
        <v>966</v>
      </c>
      <c r="D170" s="117" t="s">
        <v>1356</v>
      </c>
      <c r="E170" s="117" t="s">
        <v>1569</v>
      </c>
    </row>
    <row r="171" spans="1:5" x14ac:dyDescent="0.35">
      <c r="A171" s="112" t="s">
        <v>1093</v>
      </c>
      <c r="B171" s="117" t="s">
        <v>1621</v>
      </c>
      <c r="C171" s="113" t="s">
        <v>835</v>
      </c>
      <c r="D171" s="117" t="s">
        <v>962</v>
      </c>
      <c r="E171" s="117" t="s">
        <v>1570</v>
      </c>
    </row>
    <row r="172" spans="1:5" x14ac:dyDescent="0.35">
      <c r="A172" s="118" t="s">
        <v>1571</v>
      </c>
      <c r="C172" s="117" t="s">
        <v>835</v>
      </c>
      <c r="D172" s="117" t="s">
        <v>957</v>
      </c>
      <c r="E172" s="117" t="s">
        <v>1572</v>
      </c>
    </row>
    <row r="173" spans="1:5" x14ac:dyDescent="0.35">
      <c r="A173" s="112" t="s">
        <v>1094</v>
      </c>
      <c r="B173" s="113"/>
      <c r="C173" s="113" t="s">
        <v>835</v>
      </c>
      <c r="D173" s="117" t="s">
        <v>972</v>
      </c>
      <c r="E173" s="117" t="s">
        <v>1573</v>
      </c>
    </row>
    <row r="174" spans="1:5" x14ac:dyDescent="0.35">
      <c r="A174" s="112" t="s">
        <v>968</v>
      </c>
      <c r="B174" s="117" t="s">
        <v>1624</v>
      </c>
      <c r="C174" s="113" t="s">
        <v>954</v>
      </c>
      <c r="D174" s="117" t="s">
        <v>965</v>
      </c>
      <c r="E174" s="117" t="s">
        <v>1574</v>
      </c>
    </row>
    <row r="175" spans="1:5" x14ac:dyDescent="0.35">
      <c r="A175" s="112" t="s">
        <v>20</v>
      </c>
      <c r="B175" s="113"/>
      <c r="C175" s="113" t="s">
        <v>835</v>
      </c>
      <c r="D175" s="117" t="s">
        <v>1044</v>
      </c>
      <c r="E175" s="117" t="s">
        <v>1575</v>
      </c>
    </row>
    <row r="176" spans="1:5" x14ac:dyDescent="0.35">
      <c r="A176" s="118" t="s">
        <v>1236</v>
      </c>
      <c r="C176" s="117" t="s">
        <v>835</v>
      </c>
      <c r="D176" s="117" t="s">
        <v>1044</v>
      </c>
      <c r="E176" s="117" t="s">
        <v>1576</v>
      </c>
    </row>
    <row r="177" spans="1:5" x14ac:dyDescent="0.35">
      <c r="A177" s="112" t="s">
        <v>1095</v>
      </c>
      <c r="B177" s="113"/>
      <c r="C177" s="113" t="s">
        <v>954</v>
      </c>
      <c r="D177" s="117" t="s">
        <v>955</v>
      </c>
      <c r="E177" s="117" t="s">
        <v>1577</v>
      </c>
    </row>
    <row r="178" spans="1:5" x14ac:dyDescent="0.35">
      <c r="A178" s="118" t="s">
        <v>1578</v>
      </c>
      <c r="C178" s="117" t="s">
        <v>963</v>
      </c>
      <c r="D178" s="117" t="s">
        <v>1541</v>
      </c>
      <c r="E178" s="117" t="s">
        <v>1579</v>
      </c>
    </row>
    <row r="179" spans="1:5" x14ac:dyDescent="0.35">
      <c r="A179" s="118" t="s">
        <v>1235</v>
      </c>
      <c r="C179" s="117" t="s">
        <v>952</v>
      </c>
      <c r="D179" s="117" t="s">
        <v>961</v>
      </c>
      <c r="E179" s="117" t="s">
        <v>1580</v>
      </c>
    </row>
    <row r="180" spans="1:5" x14ac:dyDescent="0.35">
      <c r="A180" s="112" t="s">
        <v>902</v>
      </c>
      <c r="B180" s="113"/>
      <c r="C180" s="113" t="s">
        <v>954</v>
      </c>
      <c r="D180" s="117" t="s">
        <v>956</v>
      </c>
      <c r="E180" s="117" t="s">
        <v>1581</v>
      </c>
    </row>
    <row r="181" spans="1:5" x14ac:dyDescent="0.35">
      <c r="A181" s="118" t="s">
        <v>1582</v>
      </c>
      <c r="B181" s="117" t="s">
        <v>1622</v>
      </c>
      <c r="C181" s="117" t="s">
        <v>835</v>
      </c>
      <c r="D181" s="117" t="s">
        <v>962</v>
      </c>
      <c r="E181" s="117" t="s">
        <v>1583</v>
      </c>
    </row>
    <row r="182" spans="1:5" x14ac:dyDescent="0.35">
      <c r="A182" s="112" t="s">
        <v>1096</v>
      </c>
      <c r="B182" s="113"/>
      <c r="C182" s="113" t="s">
        <v>835</v>
      </c>
      <c r="D182" s="117" t="s">
        <v>972</v>
      </c>
      <c r="E182" s="117" t="s">
        <v>1584</v>
      </c>
    </row>
    <row r="183" spans="1:5" x14ac:dyDescent="0.35">
      <c r="A183" s="118" t="s">
        <v>1585</v>
      </c>
      <c r="C183" s="117" t="s">
        <v>963</v>
      </c>
      <c r="D183" s="117" t="s">
        <v>1541</v>
      </c>
      <c r="E183" s="117" t="s">
        <v>1586</v>
      </c>
    </row>
    <row r="184" spans="1:5" x14ac:dyDescent="0.35">
      <c r="A184" s="112" t="s">
        <v>1097</v>
      </c>
      <c r="B184" s="113"/>
      <c r="C184" s="113" t="s">
        <v>954</v>
      </c>
      <c r="D184" s="117" t="s">
        <v>965</v>
      </c>
      <c r="E184" s="117" t="s">
        <v>1587</v>
      </c>
    </row>
    <row r="185" spans="1:5" x14ac:dyDescent="0.35">
      <c r="A185" s="112" t="s">
        <v>852</v>
      </c>
      <c r="B185" s="113"/>
      <c r="C185" s="113" t="s">
        <v>966</v>
      </c>
      <c r="D185" s="117" t="s">
        <v>967</v>
      </c>
      <c r="E185" s="117" t="s">
        <v>1588</v>
      </c>
    </row>
    <row r="186" spans="1:5" x14ac:dyDescent="0.35">
      <c r="A186" s="112" t="s">
        <v>921</v>
      </c>
      <c r="B186" s="113"/>
      <c r="C186" s="113" t="s">
        <v>835</v>
      </c>
      <c r="D186" s="117" t="s">
        <v>962</v>
      </c>
      <c r="E186" s="117" t="s">
        <v>1589</v>
      </c>
    </row>
    <row r="187" spans="1:5" x14ac:dyDescent="0.35">
      <c r="A187" s="118" t="s">
        <v>1590</v>
      </c>
      <c r="B187" s="117" t="s">
        <v>1623</v>
      </c>
      <c r="C187" s="117" t="s">
        <v>966</v>
      </c>
      <c r="D187" s="117" t="s">
        <v>1410</v>
      </c>
      <c r="E187" s="117" t="s">
        <v>1591</v>
      </c>
    </row>
    <row r="188" spans="1:5" x14ac:dyDescent="0.35">
      <c r="A188" s="118" t="s">
        <v>1592</v>
      </c>
      <c r="B188" s="117" t="s">
        <v>1625</v>
      </c>
      <c r="C188" s="117" t="s">
        <v>952</v>
      </c>
      <c r="D188" s="117" t="s">
        <v>1387</v>
      </c>
      <c r="E188" s="117" t="s">
        <v>1593</v>
      </c>
    </row>
    <row r="189" spans="1:5" x14ac:dyDescent="0.35">
      <c r="A189" s="112" t="s">
        <v>859</v>
      </c>
      <c r="B189" s="113"/>
      <c r="C189" s="113" t="s">
        <v>952</v>
      </c>
      <c r="D189" s="117" t="s">
        <v>953</v>
      </c>
      <c r="E189" s="117" t="s">
        <v>1594</v>
      </c>
    </row>
    <row r="190" spans="1:5" x14ac:dyDescent="0.35">
      <c r="A190" s="112" t="s">
        <v>908</v>
      </c>
      <c r="B190" s="113"/>
      <c r="C190" s="113" t="s">
        <v>835</v>
      </c>
      <c r="D190" s="117" t="s">
        <v>972</v>
      </c>
      <c r="E190" s="117" t="s">
        <v>1595</v>
      </c>
    </row>
    <row r="191" spans="1:5" x14ac:dyDescent="0.35">
      <c r="A191" s="112" t="s">
        <v>164</v>
      </c>
      <c r="B191" s="113"/>
      <c r="C191" s="113" t="s">
        <v>963</v>
      </c>
      <c r="D191" s="117" t="s">
        <v>964</v>
      </c>
      <c r="E191" s="117" t="s">
        <v>1596</v>
      </c>
    </row>
    <row r="192" spans="1:5" x14ac:dyDescent="0.35">
      <c r="A192" s="118" t="s">
        <v>1597</v>
      </c>
      <c r="B192" s="117" t="s">
        <v>1614</v>
      </c>
      <c r="C192" s="117" t="s">
        <v>966</v>
      </c>
      <c r="D192" s="117" t="s">
        <v>1031</v>
      </c>
      <c r="E192" s="117" t="s">
        <v>1598</v>
      </c>
    </row>
    <row r="193" spans="1:5" x14ac:dyDescent="0.35">
      <c r="A193" s="118" t="s">
        <v>1599</v>
      </c>
      <c r="B193" s="117" t="s">
        <v>1626</v>
      </c>
      <c r="C193" s="117" t="s">
        <v>952</v>
      </c>
      <c r="D193" s="117" t="s">
        <v>953</v>
      </c>
      <c r="E193" s="117" t="s">
        <v>1600</v>
      </c>
    </row>
    <row r="194" spans="1:5" x14ac:dyDescent="0.35">
      <c r="A194" s="112" t="s">
        <v>180</v>
      </c>
      <c r="B194" s="117" t="s">
        <v>1627</v>
      </c>
      <c r="C194" s="113" t="s">
        <v>835</v>
      </c>
      <c r="D194" s="117" t="s">
        <v>1044</v>
      </c>
      <c r="E194" s="117" t="s">
        <v>1601</v>
      </c>
    </row>
    <row r="195" spans="1:5" x14ac:dyDescent="0.35">
      <c r="A195" s="112" t="s">
        <v>1098</v>
      </c>
      <c r="B195" s="113"/>
      <c r="C195" s="113" t="s">
        <v>835</v>
      </c>
      <c r="D195" s="117" t="s">
        <v>962</v>
      </c>
      <c r="E195" s="117" t="s">
        <v>1602</v>
      </c>
    </row>
    <row r="196" spans="1:5" x14ac:dyDescent="0.35">
      <c r="A196" s="112" t="s">
        <v>969</v>
      </c>
      <c r="B196" s="113"/>
      <c r="C196" s="113" t="s">
        <v>954</v>
      </c>
      <c r="D196" s="117" t="s">
        <v>965</v>
      </c>
      <c r="E196" s="117" t="s">
        <v>1603</v>
      </c>
    </row>
    <row r="197" spans="1:5" x14ac:dyDescent="0.35">
      <c r="A197" s="112" t="s">
        <v>1099</v>
      </c>
      <c r="B197" s="113"/>
      <c r="C197" s="113" t="s">
        <v>954</v>
      </c>
      <c r="D197" s="117" t="s">
        <v>965</v>
      </c>
      <c r="E197" s="117" t="s">
        <v>1604</v>
      </c>
    </row>
    <row r="198" spans="1:5" x14ac:dyDescent="0.35">
      <c r="A198" s="118" t="s">
        <v>1610</v>
      </c>
      <c r="C198" s="117" t="s">
        <v>963</v>
      </c>
      <c r="D198" s="117" t="s">
        <v>1541</v>
      </c>
      <c r="E198" s="117" t="s">
        <v>1628</v>
      </c>
    </row>
    <row r="199" spans="1:5" x14ac:dyDescent="0.35">
      <c r="A199" s="118" t="s">
        <v>1613</v>
      </c>
      <c r="C199" s="117" t="s">
        <v>966</v>
      </c>
      <c r="D199" s="117" t="s">
        <v>966</v>
      </c>
      <c r="E199" s="117" t="s">
        <v>1629</v>
      </c>
    </row>
    <row r="200" spans="1:5" x14ac:dyDescent="0.35">
      <c r="A200" s="118" t="s">
        <v>1618</v>
      </c>
      <c r="C200" s="117" t="s">
        <v>963</v>
      </c>
      <c r="D200" s="117" t="s">
        <v>1541</v>
      </c>
      <c r="E200" s="117" t="s">
        <v>1630</v>
      </c>
    </row>
    <row r="201" spans="1:5" x14ac:dyDescent="0.35">
      <c r="A201" s="118" t="s">
        <v>1138</v>
      </c>
      <c r="C201" s="117" t="s">
        <v>835</v>
      </c>
      <c r="D201" s="117" t="s">
        <v>962</v>
      </c>
      <c r="E201" s="117" t="s">
        <v>1631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69DB-D7A1-46FC-A7F7-0856D3623434}">
  <dimension ref="A1:AJ60"/>
  <sheetViews>
    <sheetView zoomScale="80" zoomScaleNormal="80" workbookViewId="0">
      <pane ySplit="5" topLeftCell="A58" activePane="bottomLeft" state="frozen"/>
      <selection pane="bottomLeft" activeCell="B9" sqref="B9"/>
    </sheetView>
  </sheetViews>
  <sheetFormatPr defaultColWidth="9.26953125" defaultRowHeight="14" x14ac:dyDescent="0.3"/>
  <cols>
    <col min="1" max="1" width="22.26953125" style="121" customWidth="1"/>
    <col min="2" max="2" width="72.1796875" style="103" customWidth="1"/>
    <col min="3" max="3" width="72.1796875" style="100" customWidth="1"/>
    <col min="4" max="4" width="22.7265625" style="119" customWidth="1"/>
    <col min="5" max="6" width="9.26953125" style="2"/>
    <col min="7" max="7" width="20.26953125" style="2" bestFit="1" customWidth="1"/>
    <col min="8" max="8" width="25.26953125" style="2" bestFit="1" customWidth="1"/>
    <col min="9" max="9" width="13.26953125" style="2" customWidth="1"/>
    <col min="10" max="16384" width="9.26953125" style="2"/>
  </cols>
  <sheetData>
    <row r="1" spans="1:36" ht="17.5" x14ac:dyDescent="0.35">
      <c r="A1" s="198" t="s">
        <v>1259</v>
      </c>
      <c r="B1" s="198"/>
    </row>
    <row r="2" spans="1:36" x14ac:dyDescent="0.3">
      <c r="A2" s="162" t="s">
        <v>1745</v>
      </c>
      <c r="C2" s="139"/>
    </row>
    <row r="3" spans="1:36" s="21" customFormat="1" ht="13" x14ac:dyDescent="0.3">
      <c r="A3" s="199" t="s">
        <v>1744</v>
      </c>
      <c r="B3" s="199"/>
      <c r="C3" s="104"/>
      <c r="D3" s="120"/>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row>
    <row r="4" spans="1:36" x14ac:dyDescent="0.3">
      <c r="A4" s="162"/>
      <c r="C4" s="139"/>
    </row>
    <row r="5" spans="1:36" s="22" customFormat="1" ht="23.25" customHeight="1" x14ac:dyDescent="0.3">
      <c r="A5" s="105" t="s">
        <v>1100</v>
      </c>
      <c r="B5" s="106" t="s">
        <v>1341</v>
      </c>
      <c r="C5" s="107" t="s">
        <v>1101</v>
      </c>
      <c r="D5" s="105" t="s">
        <v>1102</v>
      </c>
      <c r="G5" s="108" t="s">
        <v>1103</v>
      </c>
      <c r="H5" s="108" t="s">
        <v>1605</v>
      </c>
      <c r="I5" s="108" t="s">
        <v>1753</v>
      </c>
    </row>
    <row r="6" spans="1:36" s="22" customFormat="1" ht="39" x14ac:dyDescent="0.3">
      <c r="A6" s="97" t="s">
        <v>1035</v>
      </c>
      <c r="B6" s="99" t="s">
        <v>1104</v>
      </c>
      <c r="C6" s="99" t="s">
        <v>1260</v>
      </c>
      <c r="D6" s="97" t="str">
        <f>IFERROR(VLOOKUP(Table2[[#This Row],[Country]],Country_Mapping[],COLUMN(Country_Mapping[[#Headers],[Region]]),0),VLOOKUP(Table2[[#This Row],[Country]],Country_Mapping[[Alternative spelling]:[ISO 2]],COLUMN(Country_Mapping[[#Headers],[Region]])-1,0))</f>
        <v>Americas</v>
      </c>
      <c r="G6" s="109" t="s">
        <v>954</v>
      </c>
      <c r="H6" s="110">
        <f>COUNTIF(Table2[Region classification],G6)</f>
        <v>22</v>
      </c>
      <c r="I6" s="174">
        <f>H6/H$11</f>
        <v>0.4</v>
      </c>
    </row>
    <row r="7" spans="1:36" s="22" customFormat="1" ht="39" x14ac:dyDescent="0.3">
      <c r="A7" s="97" t="s">
        <v>905</v>
      </c>
      <c r="B7" s="99" t="s">
        <v>1261</v>
      </c>
      <c r="C7" s="99" t="s">
        <v>1262</v>
      </c>
      <c r="D7" s="97" t="str">
        <f>IFERROR(VLOOKUP(Table2[[#This Row],[Country]],Country_Mapping[],COLUMN(Country_Mapping[[#Headers],[Region]]),0),VLOOKUP(Table2[[#This Row],[Country]],Country_Mapping[[Alternative spelling]:[ISO 2]],COLUMN(Country_Mapping[[#Headers],[Region]])-1,0))</f>
        <v>Asia</v>
      </c>
      <c r="G7" s="109" t="s">
        <v>952</v>
      </c>
      <c r="H7" s="110">
        <f>COUNTIF(Table2[Region classification],G7)</f>
        <v>10</v>
      </c>
      <c r="I7" s="174">
        <f t="shared" ref="I7:I10" si="0">H7/H$11</f>
        <v>0.18181818181818182</v>
      </c>
    </row>
    <row r="8" spans="1:36" s="22" customFormat="1" ht="39" x14ac:dyDescent="0.3">
      <c r="A8" s="98" t="s">
        <v>1037</v>
      </c>
      <c r="B8" s="99" t="s">
        <v>1105</v>
      </c>
      <c r="C8" s="99" t="s">
        <v>1269</v>
      </c>
      <c r="D8" s="97" t="str">
        <f>IFERROR(VLOOKUP(Table2[[#This Row],[Country]],Country_Mapping[],COLUMN(Country_Mapping[[#Headers],[Region]]),0),VLOOKUP(Table2[[#This Row],[Country]],Country_Mapping[[Alternative spelling]:[ISO 2]],COLUMN(Country_Mapping[[#Headers],[Region]])-1,0))</f>
        <v>Americas</v>
      </c>
      <c r="G8" s="109" t="s">
        <v>835</v>
      </c>
      <c r="H8" s="110">
        <f>COUNTIF(Table2[Region classification],G8)</f>
        <v>15</v>
      </c>
      <c r="I8" s="174">
        <f t="shared" si="0"/>
        <v>0.27272727272727271</v>
      </c>
    </row>
    <row r="9" spans="1:36" s="22" customFormat="1" ht="39" x14ac:dyDescent="0.3">
      <c r="A9" s="97" t="s">
        <v>782</v>
      </c>
      <c r="B9" s="99" t="s">
        <v>1263</v>
      </c>
      <c r="C9" s="99" t="s">
        <v>1270</v>
      </c>
      <c r="D9" s="97" t="str">
        <f>IFERROR(VLOOKUP(Table2[[#This Row],[Country]],Country_Mapping[],COLUMN(Country_Mapping[[#Headers],[Region]]),0),VLOOKUP(Table2[[#This Row],[Country]],Country_Mapping[[Alternative spelling]:[ISO 2]],COLUMN(Country_Mapping[[#Headers],[Region]])-1,0))</f>
        <v>Asia</v>
      </c>
      <c r="G9" s="109" t="s">
        <v>966</v>
      </c>
      <c r="H9" s="110">
        <f>COUNTIF(Table2[Region classification],G9)</f>
        <v>6</v>
      </c>
      <c r="I9" s="174">
        <f t="shared" si="0"/>
        <v>0.10909090909090909</v>
      </c>
    </row>
    <row r="10" spans="1:36" s="22" customFormat="1" ht="91" x14ac:dyDescent="0.3">
      <c r="A10" s="97" t="s">
        <v>1107</v>
      </c>
      <c r="B10" s="99" t="s">
        <v>1106</v>
      </c>
      <c r="C10" s="99" t="s">
        <v>1271</v>
      </c>
      <c r="D10" s="97" t="str">
        <f>IFERROR(VLOOKUP(Table2[[#This Row],[Country]],Country_Mapping[],COLUMN(Country_Mapping[[#Headers],[Region]]),0),VLOOKUP(Table2[[#This Row],[Country]],Country_Mapping[[Alternative spelling]:[ISO 2]],COLUMN(Country_Mapping[[#Headers],[Region]])-1,0))</f>
        <v>Africa</v>
      </c>
      <c r="G10" s="109" t="s">
        <v>963</v>
      </c>
      <c r="H10" s="110">
        <f>COUNTIF(Table2[Region classification],G10)</f>
        <v>2</v>
      </c>
      <c r="I10" s="174">
        <f t="shared" si="0"/>
        <v>3.6363636363636362E-2</v>
      </c>
    </row>
    <row r="11" spans="1:36" s="22" customFormat="1" ht="39" x14ac:dyDescent="0.3">
      <c r="A11" s="97" t="s">
        <v>937</v>
      </c>
      <c r="B11" s="99" t="s">
        <v>1264</v>
      </c>
      <c r="C11" s="99" t="s">
        <v>1272</v>
      </c>
      <c r="D11" s="97" t="str">
        <f>IFERROR(VLOOKUP(Table2[[#This Row],[Country]],Country_Mapping[],COLUMN(Country_Mapping[[#Headers],[Region]]),0),VLOOKUP(Table2[[#This Row],[Country]],Country_Mapping[[Alternative spelling]:[ISO 2]],COLUMN(Country_Mapping[[#Headers],[Region]])-1,0))</f>
        <v>Asia</v>
      </c>
      <c r="G11" s="109" t="s">
        <v>1111</v>
      </c>
      <c r="H11" s="110">
        <f>COUNTA(Table2[Region classification])</f>
        <v>55</v>
      </c>
      <c r="I11" s="175" t="str">
        <f>IF(H11&lt;&gt;SUM($H$6:$H$10),H11&amp;" != "&amp;SUM($H$6:$H$10),"")</f>
        <v/>
      </c>
    </row>
    <row r="12" spans="1:36" s="22" customFormat="1" ht="39" x14ac:dyDescent="0.3">
      <c r="A12" s="97" t="s">
        <v>1041</v>
      </c>
      <c r="B12" s="99" t="s">
        <v>1265</v>
      </c>
      <c r="C12" s="99" t="s">
        <v>1273</v>
      </c>
      <c r="D12" s="97" t="str">
        <f>IFERROR(VLOOKUP(Table2[[#This Row],[Country]],Country_Mapping[],COLUMN(Country_Mapping[[#Headers],[Region]]),0),VLOOKUP(Table2[[#This Row],[Country]],Country_Mapping[[Alternative spelling]:[ISO 2]],COLUMN(Country_Mapping[[#Headers],[Region]])-1,0))</f>
        <v>Americas</v>
      </c>
      <c r="H12" s="23"/>
    </row>
    <row r="13" spans="1:36" s="22" customFormat="1" ht="39" x14ac:dyDescent="0.3">
      <c r="A13" s="97" t="s">
        <v>532</v>
      </c>
      <c r="B13" s="99" t="s">
        <v>1274</v>
      </c>
      <c r="C13" s="99" t="s">
        <v>1275</v>
      </c>
      <c r="D13" s="97" t="str">
        <f>IFERROR(VLOOKUP(Table2[[#This Row],[Country]],Country_Mapping[],COLUMN(Country_Mapping[[#Headers],[Region]]),0),VLOOKUP(Table2[[#This Row],[Country]],Country_Mapping[[Alternative spelling]:[ISO 2]],COLUMN(Country_Mapping[[#Headers],[Region]])-1,0))</f>
        <v>Asia</v>
      </c>
    </row>
    <row r="14" spans="1:36" s="22" customFormat="1" ht="52" x14ac:dyDescent="0.3">
      <c r="A14" s="97" t="s">
        <v>1109</v>
      </c>
      <c r="B14" s="99" t="s">
        <v>1108</v>
      </c>
      <c r="C14" s="99" t="s">
        <v>1276</v>
      </c>
      <c r="D14" s="97" t="str">
        <f>IFERROR(VLOOKUP(Table2[[#This Row],[Country]],Country_Mapping[],COLUMN(Country_Mapping[[#Headers],[Region]]),0),VLOOKUP(Table2[[#This Row],[Country]],Country_Mapping[[Alternative spelling]:[ISO 2]],COLUMN(Country_Mapping[[#Headers],[Region]])-1,0))</f>
        <v>Africa</v>
      </c>
    </row>
    <row r="15" spans="1:36" s="22" customFormat="1" ht="26" x14ac:dyDescent="0.3">
      <c r="A15" s="97" t="s">
        <v>1266</v>
      </c>
      <c r="B15" s="99" t="s">
        <v>1110</v>
      </c>
      <c r="C15" s="99" t="s">
        <v>1277</v>
      </c>
      <c r="D15" s="97" t="str">
        <f>IFERROR(VLOOKUP(Table2[[#This Row],[Country]],Country_Mapping[],COLUMN(Country_Mapping[[#Headers],[Region]]),0),VLOOKUP(Table2[[#This Row],[Country]],Country_Mapping[[Alternative spelling]:[ISO 2]],COLUMN(Country_Mapping[[#Headers],[Region]])-1,0))</f>
        <v>Asia</v>
      </c>
    </row>
    <row r="16" spans="1:36" s="22" customFormat="1" ht="52" x14ac:dyDescent="0.3">
      <c r="A16" s="97" t="s">
        <v>820</v>
      </c>
      <c r="B16" s="99" t="s">
        <v>1112</v>
      </c>
      <c r="C16" s="99" t="s">
        <v>1278</v>
      </c>
      <c r="D16" s="97" t="str">
        <f>IFERROR(VLOOKUP(Table2[[#This Row],[Country]],Country_Mapping[],COLUMN(Country_Mapping[[#Headers],[Region]]),0),VLOOKUP(Table2[[#This Row],[Country]],Country_Mapping[[Alternative spelling]:[ISO 2]],COLUMN(Country_Mapping[[#Headers],[Region]])-1,0))</f>
        <v>Americas</v>
      </c>
    </row>
    <row r="17" spans="1:4" s="22" customFormat="1" ht="195" x14ac:dyDescent="0.3">
      <c r="A17" s="97" t="s">
        <v>1113</v>
      </c>
      <c r="B17" s="99" t="s">
        <v>1279</v>
      </c>
      <c r="C17" s="99" t="s">
        <v>1280</v>
      </c>
      <c r="D17" s="97" t="str">
        <f>IFERROR(VLOOKUP(Table2[[#This Row],[Country]],Country_Mapping[],COLUMN(Country_Mapping[[#Headers],[Region]]),0),VLOOKUP(Table2[[#This Row],[Country]],Country_Mapping[[Alternative spelling]:[ISO 2]],COLUMN(Country_Mapping[[#Headers],[Region]])-1,0))</f>
        <v>Africa</v>
      </c>
    </row>
    <row r="18" spans="1:4" s="22" customFormat="1" ht="39" x14ac:dyDescent="0.3">
      <c r="A18" s="97" t="s">
        <v>771</v>
      </c>
      <c r="B18" s="99" t="s">
        <v>1281</v>
      </c>
      <c r="C18" s="99" t="s">
        <v>1282</v>
      </c>
      <c r="D18" s="97" t="str">
        <f>IFERROR(VLOOKUP(Table2[[#This Row],[Country]],Country_Mapping[],COLUMN(Country_Mapping[[#Headers],[Region]]),0),VLOOKUP(Table2[[#This Row],[Country]],Country_Mapping[[Alternative spelling]:[ISO 2]],COLUMN(Country_Mapping[[#Headers],[Region]])-1,0))</f>
        <v>Americas</v>
      </c>
    </row>
    <row r="19" spans="1:4" s="22" customFormat="1" ht="39" x14ac:dyDescent="0.3">
      <c r="A19" s="97" t="s">
        <v>1048</v>
      </c>
      <c r="B19" s="99" t="s">
        <v>1114</v>
      </c>
      <c r="C19" s="99" t="s">
        <v>1283</v>
      </c>
      <c r="D19" s="97" t="str">
        <f>IFERROR(VLOOKUP(Table2[[#This Row],[Country]],Country_Mapping[],COLUMN(Country_Mapping[[#Headers],[Region]]),0),VLOOKUP(Table2[[#This Row],[Country]],Country_Mapping[[Alternative spelling]:[ISO 2]],COLUMN(Country_Mapping[[#Headers],[Region]])-1,0))</f>
        <v>Africa</v>
      </c>
    </row>
    <row r="20" spans="1:4" s="22" customFormat="1" ht="39" x14ac:dyDescent="0.3">
      <c r="A20" s="97" t="s">
        <v>1115</v>
      </c>
      <c r="B20" s="99" t="s">
        <v>1284</v>
      </c>
      <c r="C20" s="99" t="s">
        <v>1285</v>
      </c>
      <c r="D20" s="97" t="str">
        <f>IFERROR(VLOOKUP(Table2[[#This Row],[Country]],Country_Mapping[],COLUMN(Country_Mapping[[#Headers],[Region]]),0),VLOOKUP(Table2[[#This Row],[Country]],Country_Mapping[[Alternative spelling]:[ISO 2]],COLUMN(Country_Mapping[[#Headers],[Region]])-1,0))</f>
        <v>Europe</v>
      </c>
    </row>
    <row r="21" spans="1:4" s="22" customFormat="1" ht="39" x14ac:dyDescent="0.3">
      <c r="A21" s="97" t="s">
        <v>930</v>
      </c>
      <c r="B21" s="99" t="s">
        <v>1116</v>
      </c>
      <c r="C21" s="99" t="s">
        <v>1286</v>
      </c>
      <c r="D21" s="97" t="str">
        <f>IFERROR(VLOOKUP(Table2[[#This Row],[Country]],Country_Mapping[],COLUMN(Country_Mapping[[#Headers],[Region]]),0),VLOOKUP(Table2[[#This Row],[Country]],Country_Mapping[[Alternative spelling]:[ISO 2]],COLUMN(Country_Mapping[[#Headers],[Region]])-1,0))</f>
        <v>Americas</v>
      </c>
    </row>
    <row r="22" spans="1:4" s="22" customFormat="1" ht="39" x14ac:dyDescent="0.3">
      <c r="A22" s="97" t="s">
        <v>1118</v>
      </c>
      <c r="B22" s="99" t="s">
        <v>1117</v>
      </c>
      <c r="C22" s="99" t="s">
        <v>1287</v>
      </c>
      <c r="D22" s="97" t="str">
        <f>IFERROR(VLOOKUP(Table2[[#This Row],[Country]],Country_Mapping[],COLUMN(Country_Mapping[[#Headers],[Region]]),0),VLOOKUP(Table2[[#This Row],[Country]],Country_Mapping[[Alternative spelling]:[ISO 2]],COLUMN(Country_Mapping[[#Headers],[Region]])-1,0))</f>
        <v>Europe</v>
      </c>
    </row>
    <row r="23" spans="1:4" s="22" customFormat="1" ht="52" x14ac:dyDescent="0.3">
      <c r="A23" s="97" t="s">
        <v>1055</v>
      </c>
      <c r="B23" s="101" t="s">
        <v>1119</v>
      </c>
      <c r="C23" s="99" t="s">
        <v>1288</v>
      </c>
      <c r="D23" s="97" t="str">
        <f>IFERROR(VLOOKUP(Table2[[#This Row],[Country]],Country_Mapping[],COLUMN(Country_Mapping[[#Headers],[Region]]),0),VLOOKUP(Table2[[#This Row],[Country]],Country_Mapping[[Alternative spelling]:[ISO 2]],COLUMN(Country_Mapping[[#Headers],[Region]])-1,0))</f>
        <v>Africa</v>
      </c>
    </row>
    <row r="24" spans="1:4" s="22" customFormat="1" ht="39" x14ac:dyDescent="0.3">
      <c r="A24" s="97" t="s">
        <v>868</v>
      </c>
      <c r="B24" s="99" t="s">
        <v>1120</v>
      </c>
      <c r="C24" s="99" t="s">
        <v>1289</v>
      </c>
      <c r="D24" s="97" t="str">
        <f>IFERROR(VLOOKUP(Table2[[#This Row],[Country]],Country_Mapping[],COLUMN(Country_Mapping[[#Headers],[Region]]),0),VLOOKUP(Table2[[#This Row],[Country]],Country_Mapping[[Alternative spelling]:[ISO 2]],COLUMN(Country_Mapping[[#Headers],[Region]])-1,0))</f>
        <v>Africa</v>
      </c>
    </row>
    <row r="25" spans="1:4" s="22" customFormat="1" ht="39" x14ac:dyDescent="0.3">
      <c r="A25" s="97" t="s">
        <v>944</v>
      </c>
      <c r="B25" s="99" t="s">
        <v>1121</v>
      </c>
      <c r="C25" s="99" t="s">
        <v>1290</v>
      </c>
      <c r="D25" s="97" t="str">
        <f>IFERROR(VLOOKUP(Table2[[#This Row],[Country]],Country_Mapping[],COLUMN(Country_Mapping[[#Headers],[Region]]),0),VLOOKUP(Table2[[#This Row],[Country]],Country_Mapping[[Alternative spelling]:[ISO 2]],COLUMN(Country_Mapping[[#Headers],[Region]])-1,0))</f>
        <v>Oceania</v>
      </c>
    </row>
    <row r="26" spans="1:4" s="22" customFormat="1" ht="39" x14ac:dyDescent="0.3">
      <c r="A26" s="97" t="s">
        <v>1123</v>
      </c>
      <c r="B26" s="99" t="s">
        <v>1122</v>
      </c>
      <c r="C26" s="99" t="s">
        <v>1291</v>
      </c>
      <c r="D26" s="97" t="str">
        <f>IFERROR(VLOOKUP(Table2[[#This Row],[Country]],Country_Mapping[],COLUMN(Country_Mapping[[#Headers],[Region]]),0),VLOOKUP(Table2[[#This Row],[Country]],Country_Mapping[[Alternative spelling]:[ISO 2]],COLUMN(Country_Mapping[[#Headers],[Region]])-1,0))</f>
        <v>Europe</v>
      </c>
    </row>
    <row r="27" spans="1:4" s="22" customFormat="1" ht="91" x14ac:dyDescent="0.3">
      <c r="A27" s="97" t="s">
        <v>55</v>
      </c>
      <c r="B27" s="99" t="s">
        <v>1292</v>
      </c>
      <c r="C27" s="99" t="s">
        <v>1293</v>
      </c>
      <c r="D27" s="97" t="str">
        <f>IFERROR(VLOOKUP(Table2[[#This Row],[Country]],Country_Mapping[],COLUMN(Country_Mapping[[#Headers],[Region]]),0),VLOOKUP(Table2[[#This Row],[Country]],Country_Mapping[[Alternative spelling]:[ISO 2]],COLUMN(Country_Mapping[[#Headers],[Region]])-1,0))</f>
        <v>Africa</v>
      </c>
    </row>
    <row r="28" spans="1:4" s="22" customFormat="1" ht="143" x14ac:dyDescent="0.3">
      <c r="A28" s="97" t="s">
        <v>1124</v>
      </c>
      <c r="B28" s="99" t="s">
        <v>1294</v>
      </c>
      <c r="C28" s="99" t="s">
        <v>1295</v>
      </c>
      <c r="D28" s="97" t="str">
        <f>IFERROR(VLOOKUP(Table2[[#This Row],[Country]],Country_Mapping[],COLUMN(Country_Mapping[[#Headers],[Region]]),0),VLOOKUP(Table2[[#This Row],[Country]],Country_Mapping[[Alternative spelling]:[ISO 2]],COLUMN(Country_Mapping[[#Headers],[Region]])-1,0))</f>
        <v>Africa</v>
      </c>
    </row>
    <row r="29" spans="1:4" s="22" customFormat="1" ht="39" x14ac:dyDescent="0.3">
      <c r="A29" s="97" t="s">
        <v>1126</v>
      </c>
      <c r="B29" s="99" t="s">
        <v>1125</v>
      </c>
      <c r="C29" s="99" t="s">
        <v>1296</v>
      </c>
      <c r="D29" s="97" t="str">
        <f>IFERROR(VLOOKUP(Table2[[#This Row],[Country]],Country_Mapping[],COLUMN(Country_Mapping[[#Headers],[Region]]),0),VLOOKUP(Table2[[#This Row],[Country]],Country_Mapping[[Alternative spelling]:[ISO 2]],COLUMN(Country_Mapping[[#Headers],[Region]])-1,0))</f>
        <v>Europe</v>
      </c>
    </row>
    <row r="30" spans="1:4" s="22" customFormat="1" ht="52" x14ac:dyDescent="0.3">
      <c r="A30" s="97" t="s">
        <v>1060</v>
      </c>
      <c r="B30" s="99" t="s">
        <v>1127</v>
      </c>
      <c r="C30" s="99" t="s">
        <v>1297</v>
      </c>
      <c r="D30" s="97" t="str">
        <f>IFERROR(VLOOKUP(Table2[[#This Row],[Country]],Country_Mapping[],COLUMN(Country_Mapping[[#Headers],[Region]]),0),VLOOKUP(Table2[[#This Row],[Country]],Country_Mapping[[Alternative spelling]:[ISO 2]],COLUMN(Country_Mapping[[#Headers],[Region]])-1,0))</f>
        <v>Asia</v>
      </c>
    </row>
    <row r="31" spans="1:4" s="22" customFormat="1" ht="39" x14ac:dyDescent="0.3">
      <c r="A31" s="97" t="s">
        <v>1069</v>
      </c>
      <c r="B31" s="99" t="s">
        <v>1128</v>
      </c>
      <c r="C31" s="99" t="s">
        <v>1298</v>
      </c>
      <c r="D31" s="97" t="str">
        <f>IFERROR(VLOOKUP(Table2[[#This Row],[Country]],Country_Mapping[],COLUMN(Country_Mapping[[#Headers],[Region]]),0),VLOOKUP(Table2[[#This Row],[Country]],Country_Mapping[[Alternative spelling]:[ISO 2]],COLUMN(Country_Mapping[[#Headers],[Region]])-1,0))</f>
        <v>Africa</v>
      </c>
    </row>
    <row r="32" spans="1:4" s="22" customFormat="1" ht="39" x14ac:dyDescent="0.3">
      <c r="A32" s="97" t="s">
        <v>1267</v>
      </c>
      <c r="B32" s="99" t="s">
        <v>1299</v>
      </c>
      <c r="C32" s="99" t="s">
        <v>1300</v>
      </c>
      <c r="D32" s="97" t="str">
        <f>IFERROR(VLOOKUP(Table2[[#This Row],[Country]],Country_Mapping[],COLUMN(Country_Mapping[[#Headers],[Region]]),0),VLOOKUP(Table2[[#This Row],[Country]],Country_Mapping[[Alternative spelling]:[ISO 2]],COLUMN(Country_Mapping[[#Headers],[Region]])-1,0))</f>
        <v>Europe</v>
      </c>
    </row>
    <row r="33" spans="1:4" s="22" customFormat="1" ht="91" x14ac:dyDescent="0.3">
      <c r="A33" s="97" t="s">
        <v>92</v>
      </c>
      <c r="B33" s="99" t="s">
        <v>1746</v>
      </c>
      <c r="C33" s="99" t="s">
        <v>1747</v>
      </c>
      <c r="D33" s="97" t="str">
        <f>IFERROR(VLOOKUP(Table2[[#This Row],[Country]],Country_Mapping[],COLUMN(Country_Mapping[[#Headers],[Region]]),0),VLOOKUP(Table2[[#This Row],[Country]],Country_Mapping[[Alternative spelling]:[ISO 2]],COLUMN(Country_Mapping[[#Headers],[Region]])-1,0))</f>
        <v>Africa</v>
      </c>
    </row>
    <row r="34" spans="1:4" s="22" customFormat="1" ht="39" x14ac:dyDescent="0.3">
      <c r="A34" s="97" t="s">
        <v>1076</v>
      </c>
      <c r="B34" s="99" t="s">
        <v>1301</v>
      </c>
      <c r="C34" s="99" t="s">
        <v>1302</v>
      </c>
      <c r="D34" s="97" t="str">
        <f>IFERROR(VLOOKUP(Table2[[#This Row],[Country]],Country_Mapping[],COLUMN(Country_Mapping[[#Headers],[Region]]),0),VLOOKUP(Table2[[#This Row],[Country]],Country_Mapping[[Alternative spelling]:[ISO 2]],COLUMN(Country_Mapping[[#Headers],[Region]])-1,0))</f>
        <v>Africa</v>
      </c>
    </row>
    <row r="35" spans="1:4" s="22" customFormat="1" ht="39" x14ac:dyDescent="0.3">
      <c r="A35" s="97" t="s">
        <v>466</v>
      </c>
      <c r="B35" s="99" t="s">
        <v>1129</v>
      </c>
      <c r="C35" s="99" t="s">
        <v>1303</v>
      </c>
      <c r="D35" s="97" t="str">
        <f>IFERROR(VLOOKUP(Table2[[#This Row],[Country]],Country_Mapping[],COLUMN(Country_Mapping[[#Headers],[Region]]),0),VLOOKUP(Table2[[#This Row],[Country]],Country_Mapping[[Alternative spelling]:[ISO 2]],COLUMN(Country_Mapping[[#Headers],[Region]])-1,0))</f>
        <v>Asia</v>
      </c>
    </row>
    <row r="36" spans="1:4" s="22" customFormat="1" ht="39" x14ac:dyDescent="0.3">
      <c r="A36" s="97" t="s">
        <v>80</v>
      </c>
      <c r="B36" s="99" t="s">
        <v>1304</v>
      </c>
      <c r="C36" s="99" t="s">
        <v>1305</v>
      </c>
      <c r="D36" s="97" t="str">
        <f>IFERROR(VLOOKUP(Table2[[#This Row],[Country]],Country_Mapping[],COLUMN(Country_Mapping[[#Headers],[Region]]),0),VLOOKUP(Table2[[#This Row],[Country]],Country_Mapping[[Alternative spelling]:[ISO 2]],COLUMN(Country_Mapping[[#Headers],[Region]])-1,0))</f>
        <v>Africa</v>
      </c>
    </row>
    <row r="37" spans="1:4" s="22" customFormat="1" ht="39" x14ac:dyDescent="0.3">
      <c r="A37" s="97" t="s">
        <v>496</v>
      </c>
      <c r="B37" s="99" t="s">
        <v>1306</v>
      </c>
      <c r="C37" s="99" t="s">
        <v>1748</v>
      </c>
      <c r="D37" s="97" t="str">
        <f>IFERROR(VLOOKUP(Table2[[#This Row],[Country]],Country_Mapping[],COLUMN(Country_Mapping[[#Headers],[Region]]),0),VLOOKUP(Table2[[#This Row],[Country]],Country_Mapping[[Alternative spelling]:[ISO 2]],COLUMN(Country_Mapping[[#Headers],[Region]])-1,0))</f>
        <v>Asia</v>
      </c>
    </row>
    <row r="38" spans="1:4" s="22" customFormat="1" ht="65" x14ac:dyDescent="0.3">
      <c r="A38" s="97" t="s">
        <v>1079</v>
      </c>
      <c r="B38" s="99" t="s">
        <v>1307</v>
      </c>
      <c r="C38" s="99" t="s">
        <v>1308</v>
      </c>
      <c r="D38" s="97" t="str">
        <f>IFERROR(VLOOKUP(Table2[[#This Row],[Country]],Country_Mapping[],COLUMN(Country_Mapping[[#Headers],[Region]]),0),VLOOKUP(Table2[[#This Row],[Country]],Country_Mapping[[Alternative spelling]:[ISO 2]],COLUMN(Country_Mapping[[#Headers],[Region]])-1,0))</f>
        <v>Africa</v>
      </c>
    </row>
    <row r="39" spans="1:4" s="22" customFormat="1" ht="39" x14ac:dyDescent="0.3">
      <c r="A39" s="97" t="s">
        <v>1080</v>
      </c>
      <c r="B39" s="99" t="s">
        <v>1749</v>
      </c>
      <c r="C39" s="99" t="s">
        <v>1750</v>
      </c>
      <c r="D39" s="97" t="str">
        <f>IFERROR(VLOOKUP(Table2[[#This Row],[Country]],Country_Mapping[],COLUMN(Country_Mapping[[#Headers],[Region]]),0),VLOOKUP(Table2[[#This Row],[Country]],Country_Mapping[[Alternative spelling]:[ISO 2]],COLUMN(Country_Mapping[[#Headers],[Region]])-1,0))</f>
        <v>Americas</v>
      </c>
    </row>
    <row r="40" spans="1:4" s="22" customFormat="1" ht="39" x14ac:dyDescent="0.3">
      <c r="A40" s="97" t="s">
        <v>1081</v>
      </c>
      <c r="B40" s="99" t="s">
        <v>1130</v>
      </c>
      <c r="C40" s="99" t="s">
        <v>1309</v>
      </c>
      <c r="D40" s="97" t="str">
        <f>IFERROR(VLOOKUP(Table2[[#This Row],[Country]],Country_Mapping[],COLUMN(Country_Mapping[[#Headers],[Region]]),0),VLOOKUP(Table2[[#This Row],[Country]],Country_Mapping[[Alternative spelling]:[ISO 2]],COLUMN(Country_Mapping[[#Headers],[Region]])-1,0))</f>
        <v>Africa</v>
      </c>
    </row>
    <row r="41" spans="1:4" s="22" customFormat="1" ht="52" x14ac:dyDescent="0.3">
      <c r="A41" s="97" t="s">
        <v>976</v>
      </c>
      <c r="B41" s="99" t="s">
        <v>1310</v>
      </c>
      <c r="C41" s="99" t="s">
        <v>1311</v>
      </c>
      <c r="D41" s="97" t="str">
        <f>IFERROR(VLOOKUP(Table2[[#This Row],[Country]],Country_Mapping[],COLUMN(Country_Mapping[[#Headers],[Region]]),0),VLOOKUP(Table2[[#This Row],[Country]],Country_Mapping[[Alternative spelling]:[ISO 2]],COLUMN(Country_Mapping[[#Headers],[Region]])-1,0))</f>
        <v>Africa</v>
      </c>
    </row>
    <row r="42" spans="1:4" s="22" customFormat="1" ht="39" x14ac:dyDescent="0.3">
      <c r="A42" s="97" t="s">
        <v>1268</v>
      </c>
      <c r="B42" s="99" t="s">
        <v>1312</v>
      </c>
      <c r="C42" s="99" t="s">
        <v>1313</v>
      </c>
      <c r="D42" s="97" t="str">
        <f>IFERROR(VLOOKUP(Table2[[#This Row],[Country]],Country_Mapping[],COLUMN(Country_Mapping[[#Headers],[Region]]),0),VLOOKUP(Table2[[#This Row],[Country]],Country_Mapping[[Alternative spelling]:[ISO 2]],COLUMN(Country_Mapping[[#Headers],[Region]])-1,0))</f>
        <v>Asia</v>
      </c>
    </row>
    <row r="43" spans="1:4" s="22" customFormat="1" ht="91" x14ac:dyDescent="0.3">
      <c r="A43" s="97" t="s">
        <v>1085</v>
      </c>
      <c r="B43" s="99" t="s">
        <v>1131</v>
      </c>
      <c r="C43" s="99" t="s">
        <v>1314</v>
      </c>
      <c r="D43" s="97" t="str">
        <f>IFERROR(VLOOKUP(Table2[[#This Row],[Country]],Country_Mapping[],COLUMN(Country_Mapping[[#Headers],[Region]]),0),VLOOKUP(Table2[[#This Row],[Country]],Country_Mapping[[Alternative spelling]:[ISO 2]],COLUMN(Country_Mapping[[#Headers],[Region]])-1,0))</f>
        <v>Americas</v>
      </c>
    </row>
    <row r="44" spans="1:4" s="22" customFormat="1" ht="52" x14ac:dyDescent="0.3">
      <c r="A44" s="97" t="s">
        <v>69</v>
      </c>
      <c r="B44" s="99" t="s">
        <v>1315</v>
      </c>
      <c r="C44" s="99" t="s">
        <v>1316</v>
      </c>
      <c r="D44" s="97" t="str">
        <f>IFERROR(VLOOKUP(Table2[[#This Row],[Country]],Country_Mapping[],COLUMN(Country_Mapping[[#Headers],[Region]]),0),VLOOKUP(Table2[[#This Row],[Country]],Country_Mapping[[Alternative spelling]:[ISO 2]],COLUMN(Country_Mapping[[#Headers],[Region]])-1,0))</f>
        <v>Americas</v>
      </c>
    </row>
    <row r="45" spans="1:4" s="22" customFormat="1" ht="39" x14ac:dyDescent="0.3">
      <c r="A45" s="97" t="s">
        <v>1133</v>
      </c>
      <c r="B45" s="99" t="s">
        <v>1132</v>
      </c>
      <c r="C45" s="99" t="s">
        <v>1317</v>
      </c>
      <c r="D45" s="97" t="str">
        <f>IFERROR(VLOOKUP(Table2[[#This Row],[Country]],Country_Mapping[],COLUMN(Country_Mapping[[#Headers],[Region]]),0),VLOOKUP(Table2[[#This Row],[Country]],Country_Mapping[[Alternative spelling]:[ISO 2]],COLUMN(Country_Mapping[[#Headers],[Region]])-1,0))</f>
        <v>Asia</v>
      </c>
    </row>
    <row r="46" spans="1:4" s="22" customFormat="1" ht="39" x14ac:dyDescent="0.3">
      <c r="A46" s="97" t="s">
        <v>1088</v>
      </c>
      <c r="B46" s="99" t="s">
        <v>1318</v>
      </c>
      <c r="C46" s="99" t="s">
        <v>1319</v>
      </c>
      <c r="D46" s="97" t="str">
        <f>IFERROR(VLOOKUP(Table2[[#This Row],[Country]],Country_Mapping[],COLUMN(Country_Mapping[[#Headers],[Region]]),0),VLOOKUP(Table2[[#This Row],[Country]],Country_Mapping[[Alternative spelling]:[ISO 2]],COLUMN(Country_Mapping[[#Headers],[Region]])-1,0))</f>
        <v>Africa</v>
      </c>
    </row>
    <row r="47" spans="1:4" s="22" customFormat="1" ht="39" x14ac:dyDescent="0.3">
      <c r="A47" s="97" t="s">
        <v>403</v>
      </c>
      <c r="B47" s="99" t="s">
        <v>1134</v>
      </c>
      <c r="C47" s="99" t="s">
        <v>1320</v>
      </c>
      <c r="D47" s="97" t="str">
        <f>IFERROR(VLOOKUP(Table2[[#This Row],[Country]],Country_Mapping[],COLUMN(Country_Mapping[[#Headers],[Region]]),0),VLOOKUP(Table2[[#This Row],[Country]],Country_Mapping[[Alternative spelling]:[ISO 2]],COLUMN(Country_Mapping[[#Headers],[Region]])-1,0))</f>
        <v>Asia</v>
      </c>
    </row>
    <row r="48" spans="1:4" s="22" customFormat="1" ht="143" x14ac:dyDescent="0.3">
      <c r="A48" s="115" t="s">
        <v>33</v>
      </c>
      <c r="B48" s="101" t="s">
        <v>1321</v>
      </c>
      <c r="C48" s="101" t="s">
        <v>1322</v>
      </c>
      <c r="D48" s="120" t="str">
        <f>IFERROR(VLOOKUP(Table2[[#This Row],[Country]],Country_Mapping[],COLUMN(Country_Mapping[[#Headers],[Region]]),0),VLOOKUP(Table2[[#This Row],[Country]],Country_Mapping[[Alternative spelling]:[ISO 2]],COLUMN(Country_Mapping[[#Headers],[Region]])-1,0))</f>
        <v>Africa</v>
      </c>
    </row>
    <row r="49" spans="1:4" ht="56" x14ac:dyDescent="0.3">
      <c r="A49" s="116" t="s">
        <v>1136</v>
      </c>
      <c r="B49" s="102" t="s">
        <v>1135</v>
      </c>
      <c r="C49" s="102" t="s">
        <v>1323</v>
      </c>
      <c r="D49" s="119" t="str">
        <f>IFERROR(VLOOKUP(Table2[[#This Row],[Country]],Country_Mapping[],COLUMN(Country_Mapping[[#Headers],[Region]]),0),VLOOKUP(Table2[[#This Row],[Country]],Country_Mapping[[Alternative spelling]:[ISO 2]],COLUMN(Country_Mapping[[#Headers],[Region]])-1,0))</f>
        <v>Africa</v>
      </c>
    </row>
    <row r="50" spans="1:4" ht="56" x14ac:dyDescent="0.3">
      <c r="A50" s="116" t="s">
        <v>1138</v>
      </c>
      <c r="B50" s="102" t="s">
        <v>1137</v>
      </c>
      <c r="C50" s="102" t="s">
        <v>1324</v>
      </c>
      <c r="D50" s="119" t="str">
        <f>IFERROR(VLOOKUP(Table2[[#This Row],[Country]],Country_Mapping[],COLUMN(Country_Mapping[[#Headers],[Region]]),0),VLOOKUP(Table2[[#This Row],[Country]],Country_Mapping[[Alternative spelling]:[ISO 2]],COLUMN(Country_Mapping[[#Headers],[Region]])-1,0))</f>
        <v>Asia</v>
      </c>
    </row>
    <row r="51" spans="1:4" ht="42" x14ac:dyDescent="0.3">
      <c r="A51" s="116" t="s">
        <v>1236</v>
      </c>
      <c r="B51" s="102" t="s">
        <v>1325</v>
      </c>
      <c r="C51" s="102" t="s">
        <v>1326</v>
      </c>
      <c r="D51" s="119" t="str">
        <f>IFERROR(VLOOKUP(Table2[[#This Row],[Country]],Country_Mapping[],COLUMN(Country_Mapping[[#Headers],[Region]]),0),VLOOKUP(Table2[[#This Row],[Country]],Country_Mapping[[Alternative spelling]:[ISO 2]],COLUMN(Country_Mapping[[#Headers],[Region]])-1,0))</f>
        <v>Asia</v>
      </c>
    </row>
    <row r="52" spans="1:4" ht="98" x14ac:dyDescent="0.3">
      <c r="A52" s="116" t="s">
        <v>1095</v>
      </c>
      <c r="B52" s="102" t="s">
        <v>1139</v>
      </c>
      <c r="C52" s="102" t="s">
        <v>1327</v>
      </c>
      <c r="D52" s="119" t="str">
        <f>IFERROR(VLOOKUP(Table2[[#This Row],[Country]],Country_Mapping[],COLUMN(Country_Mapping[[#Headers],[Region]]),0),VLOOKUP(Table2[[#This Row],[Country]],Country_Mapping[[Alternative spelling]:[ISO 2]],COLUMN(Country_Mapping[[#Headers],[Region]])-1,0))</f>
        <v>Africa</v>
      </c>
    </row>
    <row r="53" spans="1:4" ht="70" x14ac:dyDescent="0.3">
      <c r="A53" s="116" t="s">
        <v>1097</v>
      </c>
      <c r="B53" s="102" t="s">
        <v>1140</v>
      </c>
      <c r="C53" s="102" t="s">
        <v>1328</v>
      </c>
      <c r="D53" s="119" t="str">
        <f>IFERROR(VLOOKUP(Table2[[#This Row],[Country]],Country_Mapping[],COLUMN(Country_Mapping[[#Headers],[Region]]),0),VLOOKUP(Table2[[#This Row],[Country]],Country_Mapping[[Alternative spelling]:[ISO 2]],COLUMN(Country_Mapping[[#Headers],[Region]])-1,0))</f>
        <v>Africa</v>
      </c>
    </row>
    <row r="54" spans="1:4" ht="42" x14ac:dyDescent="0.3">
      <c r="A54" s="116" t="s">
        <v>852</v>
      </c>
      <c r="B54" s="102" t="s">
        <v>1329</v>
      </c>
      <c r="C54" s="102" t="s">
        <v>1330</v>
      </c>
      <c r="D54" s="119" t="str">
        <f>IFERROR(VLOOKUP(Table2[[#This Row],[Country]],Country_Mapping[],COLUMN(Country_Mapping[[#Headers],[Region]]),0),VLOOKUP(Table2[[#This Row],[Country]],Country_Mapping[[Alternative spelling]:[ISO 2]],COLUMN(Country_Mapping[[#Headers],[Region]])-1,0))</f>
        <v>Europe</v>
      </c>
    </row>
    <row r="55" spans="1:4" ht="42" x14ac:dyDescent="0.3">
      <c r="A55" s="116" t="s">
        <v>921</v>
      </c>
      <c r="B55" s="102" t="s">
        <v>1141</v>
      </c>
      <c r="C55" s="102" t="s">
        <v>1331</v>
      </c>
      <c r="D55" s="119" t="str">
        <f>IFERROR(VLOOKUP(Table2[[#This Row],[Country]],Country_Mapping[],COLUMN(Country_Mapping[[#Headers],[Region]]),0),VLOOKUP(Table2[[#This Row],[Country]],Country_Mapping[[Alternative spelling]:[ISO 2]],COLUMN(Country_Mapping[[#Headers],[Region]])-1,0))</f>
        <v>Asia</v>
      </c>
    </row>
    <row r="56" spans="1:4" ht="56" x14ac:dyDescent="0.3">
      <c r="A56" s="116" t="s">
        <v>859</v>
      </c>
      <c r="B56" s="102" t="s">
        <v>1332</v>
      </c>
      <c r="C56" s="102" t="s">
        <v>1333</v>
      </c>
      <c r="D56" s="119" t="str">
        <f>IFERROR(VLOOKUP(Table2[[#This Row],[Country]],Country_Mapping[],COLUMN(Country_Mapping[[#Headers],[Region]]),0),VLOOKUP(Table2[[#This Row],[Country]],Country_Mapping[[Alternative spelling]:[ISO 2]],COLUMN(Country_Mapping[[#Headers],[Region]])-1,0))</f>
        <v>Americas</v>
      </c>
    </row>
    <row r="57" spans="1:4" ht="56" x14ac:dyDescent="0.3">
      <c r="A57" s="116" t="s">
        <v>908</v>
      </c>
      <c r="B57" s="102" t="s">
        <v>1334</v>
      </c>
      <c r="C57" s="102" t="s">
        <v>1335</v>
      </c>
      <c r="D57" s="119" t="str">
        <f>IFERROR(VLOOKUP(Table2[[#This Row],[Country]],Country_Mapping[],COLUMN(Country_Mapping[[#Headers],[Region]]),0),VLOOKUP(Table2[[#This Row],[Country]],Country_Mapping[[Alternative spelling]:[ISO 2]],COLUMN(Country_Mapping[[#Headers],[Region]])-1,0))</f>
        <v>Asia</v>
      </c>
    </row>
    <row r="58" spans="1:4" ht="98" x14ac:dyDescent="0.3">
      <c r="A58" s="116" t="s">
        <v>164</v>
      </c>
      <c r="B58" s="102" t="s">
        <v>1336</v>
      </c>
      <c r="C58" s="102" t="s">
        <v>1337</v>
      </c>
      <c r="D58" s="119" t="str">
        <f>IFERROR(VLOOKUP(Table2[[#This Row],[Country]],Country_Mapping[],COLUMN(Country_Mapping[[#Headers],[Region]]),0),VLOOKUP(Table2[[#This Row],[Country]],Country_Mapping[[Alternative spelling]:[ISO 2]],COLUMN(Country_Mapping[[#Headers],[Region]])-1,0))</f>
        <v>Oceania</v>
      </c>
    </row>
    <row r="59" spans="1:4" ht="42" x14ac:dyDescent="0.3">
      <c r="A59" s="116" t="s">
        <v>969</v>
      </c>
      <c r="B59" s="102" t="s">
        <v>1338</v>
      </c>
      <c r="C59" s="102" t="s">
        <v>1339</v>
      </c>
      <c r="D59" s="119" t="str">
        <f>IFERROR(VLOOKUP(Table2[[#This Row],[Country]],Country_Mapping[],COLUMN(Country_Mapping[[#Headers],[Region]]),0),VLOOKUP(Table2[[#This Row],[Country]],Country_Mapping[[Alternative spelling]:[ISO 2]],COLUMN(Country_Mapping[[#Headers],[Region]])-1,0))</f>
        <v>Africa</v>
      </c>
    </row>
    <row r="60" spans="1:4" ht="42" x14ac:dyDescent="0.3">
      <c r="A60" s="116" t="s">
        <v>1099</v>
      </c>
      <c r="B60" s="102" t="s">
        <v>1142</v>
      </c>
      <c r="C60" s="102" t="s">
        <v>1340</v>
      </c>
      <c r="D60" s="119" t="str">
        <f>IFERROR(VLOOKUP(Table2[[#This Row],[Country]],Country_Mapping[],COLUMN(Country_Mapping[[#Headers],[Region]]),0),VLOOKUP(Table2[[#This Row],[Country]],Country_Mapping[[Alternative spelling]:[ISO 2]],COLUMN(Country_Mapping[[#Headers],[Region]])-1,0))</f>
        <v>Africa</v>
      </c>
    </row>
  </sheetData>
  <mergeCells count="2">
    <mergeCell ref="A1:B1"/>
    <mergeCell ref="A3:B3"/>
  </mergeCells>
  <conditionalFormatting sqref="A1">
    <cfRule type="containsText" dxfId="3" priority="1" operator="containsText" text="CDM6044">
      <formula>NOT(ISERROR(SEARCH("CDM6044",A1)))</formula>
    </cfRule>
    <cfRule type="containsText" dxfId="2" priority="2" operator="containsText" text="CDM6043">
      <formula>NOT(ISERROR(SEARCH("CDM6043",A1)))</formula>
    </cfRule>
    <cfRule type="containsText" dxfId="1" priority="3" operator="containsText" text="CDM6043">
      <formula>NOT(ISERROR(SEARCH("CDM6043",A1)))</formula>
    </cfRule>
    <cfRule type="containsText" dxfId="0" priority="4" operator="containsText" text="CDM6042">
      <formula>NOT(ISERROR(SEARCH("CDM6042",A1)))</formula>
    </cfRule>
  </conditionalFormatting>
  <hyperlinks>
    <hyperlink ref="A3" r:id="rId1" display="https://unfccc.int/process-and-meetings/the-paris-agreement/article-64-mechanism/national-authorities" xr:uid="{3355CE03-8D5D-4627-88E8-22EB10C2DCC2}"/>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A0E7D-5FB5-4C63-BA5E-2C3F425F1A9C}">
  <sheetPr>
    <pageSetUpPr fitToPage="1"/>
  </sheetPr>
  <dimension ref="A1:J39"/>
  <sheetViews>
    <sheetView showGridLines="0" zoomScaleNormal="100" workbookViewId="0">
      <pane xSplit="2" ySplit="3" topLeftCell="E4" activePane="bottomRight" state="frozen"/>
      <selection pane="topRight" activeCell="D1" sqref="D1"/>
      <selection pane="bottomLeft" activeCell="A5" sqref="A5"/>
      <selection pane="bottomRight" activeCell="A8" sqref="A8"/>
    </sheetView>
  </sheetViews>
  <sheetFormatPr defaultColWidth="9.26953125" defaultRowHeight="13" x14ac:dyDescent="0.25"/>
  <cols>
    <col min="1" max="1" width="45.54296875" style="145" customWidth="1"/>
    <col min="2" max="2" width="27" style="145" customWidth="1"/>
    <col min="3" max="3" width="55.453125" style="145" customWidth="1"/>
    <col min="4" max="4" width="34.453125" style="145" customWidth="1"/>
    <col min="5" max="5" width="28.54296875" style="145" customWidth="1"/>
    <col min="6" max="6" width="33.54296875" style="145" customWidth="1"/>
    <col min="7" max="7" width="15" style="145" customWidth="1"/>
    <col min="8" max="8" width="71.54296875" style="160" customWidth="1"/>
    <col min="9" max="9" width="46.453125" style="145" customWidth="1"/>
    <col min="10" max="10" width="129.453125" style="145" customWidth="1"/>
    <col min="11" max="16384" width="9.26953125" style="145"/>
  </cols>
  <sheetData>
    <row r="1" spans="1:10" x14ac:dyDescent="0.25">
      <c r="A1" s="200" t="s">
        <v>1764</v>
      </c>
      <c r="B1" s="200"/>
      <c r="C1" s="200"/>
      <c r="D1" s="200"/>
      <c r="E1" s="200"/>
      <c r="F1" s="200"/>
      <c r="G1" s="140"/>
      <c r="H1" s="141"/>
    </row>
    <row r="2" spans="1:10" x14ac:dyDescent="0.25">
      <c r="A2" s="146"/>
      <c r="B2" s="147"/>
      <c r="C2" s="140"/>
      <c r="D2" s="140"/>
      <c r="E2" s="140"/>
      <c r="F2" s="140"/>
      <c r="G2" s="140"/>
      <c r="H2" s="146"/>
    </row>
    <row r="3" spans="1:10" s="96" customFormat="1" x14ac:dyDescent="0.25">
      <c r="A3" s="142" t="s">
        <v>2</v>
      </c>
      <c r="B3" s="142" t="s">
        <v>3</v>
      </c>
      <c r="C3" s="142" t="s">
        <v>10</v>
      </c>
      <c r="D3" s="142" t="s">
        <v>11</v>
      </c>
      <c r="E3" s="142" t="s">
        <v>12</v>
      </c>
      <c r="F3" s="142" t="s">
        <v>13</v>
      </c>
      <c r="G3" s="142" t="s">
        <v>14</v>
      </c>
      <c r="H3" s="142" t="s">
        <v>15</v>
      </c>
      <c r="I3" s="143" t="s">
        <v>16</v>
      </c>
      <c r="J3" s="144" t="s">
        <v>17</v>
      </c>
    </row>
    <row r="4" spans="1:10" ht="26" x14ac:dyDescent="0.25">
      <c r="A4" s="148" t="s">
        <v>1143</v>
      </c>
      <c r="B4" s="148" t="s">
        <v>1730</v>
      </c>
      <c r="C4" s="148" t="s">
        <v>977</v>
      </c>
      <c r="D4" s="148" t="s">
        <v>1731</v>
      </c>
      <c r="E4" s="148" t="s">
        <v>1144</v>
      </c>
      <c r="F4" s="148" t="s">
        <v>1145</v>
      </c>
      <c r="G4" s="148" t="s">
        <v>925</v>
      </c>
      <c r="H4" s="149" t="s">
        <v>1146</v>
      </c>
      <c r="I4" s="148" t="s">
        <v>1147</v>
      </c>
      <c r="J4" s="150" t="s">
        <v>1148</v>
      </c>
    </row>
    <row r="5" spans="1:10" ht="65" x14ac:dyDescent="0.25">
      <c r="A5" s="145" t="s">
        <v>1149</v>
      </c>
      <c r="B5" s="145" t="s">
        <v>1728</v>
      </c>
      <c r="C5" s="145" t="s">
        <v>1150</v>
      </c>
      <c r="D5" s="145" t="s">
        <v>1729</v>
      </c>
      <c r="E5" s="145" t="s">
        <v>1144</v>
      </c>
      <c r="G5" s="145" t="s">
        <v>1151</v>
      </c>
      <c r="H5" s="151" t="s">
        <v>1146</v>
      </c>
      <c r="I5" s="145" t="s">
        <v>1152</v>
      </c>
      <c r="J5" s="152" t="s">
        <v>1153</v>
      </c>
    </row>
    <row r="6" spans="1:10" ht="26" x14ac:dyDescent="0.25">
      <c r="A6" s="145" t="s">
        <v>1154</v>
      </c>
      <c r="B6" s="145" t="s">
        <v>1155</v>
      </c>
      <c r="C6" s="145" t="s">
        <v>1156</v>
      </c>
      <c r="E6" s="145" t="s">
        <v>1157</v>
      </c>
      <c r="H6" s="153" t="s">
        <v>1158</v>
      </c>
      <c r="J6" s="152"/>
    </row>
    <row r="7" spans="1:10" ht="78" x14ac:dyDescent="0.25">
      <c r="A7" s="145" t="s">
        <v>1159</v>
      </c>
      <c r="B7" s="145" t="s">
        <v>1160</v>
      </c>
      <c r="C7" s="145" t="s">
        <v>1161</v>
      </c>
      <c r="D7" s="145" t="s">
        <v>1162</v>
      </c>
      <c r="E7" s="145" t="s">
        <v>1163</v>
      </c>
      <c r="F7" s="145" t="s">
        <v>1164</v>
      </c>
      <c r="G7" s="145" t="s">
        <v>1735</v>
      </c>
      <c r="H7" s="153" t="s">
        <v>1165</v>
      </c>
      <c r="I7" s="145" t="s">
        <v>1166</v>
      </c>
      <c r="J7" s="152"/>
    </row>
    <row r="8" spans="1:10" ht="65" x14ac:dyDescent="0.25">
      <c r="A8" s="145" t="s">
        <v>1167</v>
      </c>
      <c r="B8" s="145" t="s">
        <v>1732</v>
      </c>
      <c r="C8" s="145" t="s">
        <v>1168</v>
      </c>
      <c r="D8" s="145" t="s">
        <v>1733</v>
      </c>
      <c r="E8" s="145" t="s">
        <v>1144</v>
      </c>
      <c r="F8" s="145" t="s">
        <v>1169</v>
      </c>
      <c r="H8" s="151" t="s">
        <v>1734</v>
      </c>
      <c r="I8" s="145" t="s">
        <v>1170</v>
      </c>
      <c r="J8" s="152" t="s">
        <v>1171</v>
      </c>
    </row>
    <row r="9" spans="1:10" ht="39" x14ac:dyDescent="0.25">
      <c r="A9" s="145" t="s">
        <v>1172</v>
      </c>
      <c r="B9" s="145" t="s">
        <v>1173</v>
      </c>
      <c r="C9" s="145" t="s">
        <v>1174</v>
      </c>
      <c r="D9" s="145" t="s">
        <v>1175</v>
      </c>
      <c r="E9" s="145" t="s">
        <v>1644</v>
      </c>
      <c r="H9" s="153" t="s">
        <v>1176</v>
      </c>
      <c r="J9" s="145" t="s">
        <v>1645</v>
      </c>
    </row>
    <row r="10" spans="1:10" ht="26" x14ac:dyDescent="0.25">
      <c r="A10" s="145" t="s">
        <v>1177</v>
      </c>
      <c r="B10" s="145" t="s">
        <v>1173</v>
      </c>
      <c r="C10" s="145" t="s">
        <v>1178</v>
      </c>
      <c r="D10" s="145" t="s">
        <v>1179</v>
      </c>
      <c r="E10" s="145" t="s">
        <v>1644</v>
      </c>
      <c r="H10" s="153" t="s">
        <v>1180</v>
      </c>
      <c r="J10" s="152"/>
    </row>
    <row r="11" spans="1:10" ht="65" x14ac:dyDescent="0.25">
      <c r="A11" s="145" t="s">
        <v>1181</v>
      </c>
      <c r="B11" s="145" t="s">
        <v>1182</v>
      </c>
      <c r="C11" s="145" t="s">
        <v>1183</v>
      </c>
      <c r="E11" s="145" t="s">
        <v>1184</v>
      </c>
      <c r="F11" s="145" t="s">
        <v>1185</v>
      </c>
      <c r="H11" s="153" t="s">
        <v>1186</v>
      </c>
      <c r="J11" s="152"/>
    </row>
    <row r="12" spans="1:10" ht="91" x14ac:dyDescent="0.25">
      <c r="A12" s="145" t="s">
        <v>1187</v>
      </c>
      <c r="B12" s="145" t="s">
        <v>1188</v>
      </c>
      <c r="C12" s="145" t="s">
        <v>1189</v>
      </c>
      <c r="D12" s="145" t="s">
        <v>1190</v>
      </c>
      <c r="E12" s="145" t="s">
        <v>1191</v>
      </c>
      <c r="H12" s="151" t="s">
        <v>1192</v>
      </c>
      <c r="I12" s="145" t="s">
        <v>1193</v>
      </c>
      <c r="J12" s="152" t="s">
        <v>1194</v>
      </c>
    </row>
    <row r="13" spans="1:10" ht="39" x14ac:dyDescent="0.25">
      <c r="A13" s="145" t="s">
        <v>1195</v>
      </c>
      <c r="B13" s="145" t="s">
        <v>1097</v>
      </c>
      <c r="C13" s="145" t="s">
        <v>1189</v>
      </c>
      <c r="D13" s="145" t="s">
        <v>1196</v>
      </c>
      <c r="E13" s="145" t="s">
        <v>1191</v>
      </c>
      <c r="H13" s="151" t="s">
        <v>1197</v>
      </c>
      <c r="I13" s="145" t="s">
        <v>1198</v>
      </c>
      <c r="J13" s="152" t="s">
        <v>1199</v>
      </c>
    </row>
    <row r="14" spans="1:10" ht="52" x14ac:dyDescent="0.25">
      <c r="A14" s="145" t="s">
        <v>1200</v>
      </c>
      <c r="B14" s="145" t="s">
        <v>1201</v>
      </c>
      <c r="C14" s="145" t="s">
        <v>1202</v>
      </c>
      <c r="H14" s="151" t="s">
        <v>1203</v>
      </c>
      <c r="J14" s="152" t="s">
        <v>1204</v>
      </c>
    </row>
    <row r="15" spans="1:10" ht="52" x14ac:dyDescent="0.25">
      <c r="A15" s="154" t="s">
        <v>1205</v>
      </c>
      <c r="B15" s="154" t="s">
        <v>1206</v>
      </c>
      <c r="C15" s="154"/>
      <c r="D15" s="154"/>
      <c r="E15" s="154"/>
      <c r="F15" s="154"/>
      <c r="G15" s="154"/>
      <c r="H15" s="155" t="s">
        <v>1207</v>
      </c>
      <c r="I15" s="154"/>
      <c r="J15" s="156" t="s">
        <v>1208</v>
      </c>
    </row>
    <row r="16" spans="1:10" ht="52" x14ac:dyDescent="0.25">
      <c r="A16" s="157" t="s">
        <v>1209</v>
      </c>
      <c r="B16" s="145" t="s">
        <v>1210</v>
      </c>
      <c r="C16" s="145" t="s">
        <v>1211</v>
      </c>
      <c r="H16" s="158" t="s">
        <v>1212</v>
      </c>
      <c r="J16" s="145" t="s">
        <v>1213</v>
      </c>
    </row>
    <row r="17" spans="1:10" ht="104" x14ac:dyDescent="0.25">
      <c r="A17" s="157" t="s">
        <v>1214</v>
      </c>
      <c r="G17" s="145" t="s">
        <v>187</v>
      </c>
      <c r="H17" s="158" t="s">
        <v>1215</v>
      </c>
      <c r="J17" s="145" t="s">
        <v>1216</v>
      </c>
    </row>
    <row r="18" spans="1:10" ht="26" x14ac:dyDescent="0.25">
      <c r="A18" s="145" t="s">
        <v>1636</v>
      </c>
      <c r="B18" s="145" t="s">
        <v>1633</v>
      </c>
      <c r="C18" s="145" t="s">
        <v>1634</v>
      </c>
      <c r="H18" s="158" t="s">
        <v>1658</v>
      </c>
      <c r="J18" s="145" t="s">
        <v>1635</v>
      </c>
    </row>
    <row r="19" spans="1:10" ht="78" x14ac:dyDescent="0.25">
      <c r="A19" s="145" t="s">
        <v>1637</v>
      </c>
      <c r="B19" s="145" t="s">
        <v>1638</v>
      </c>
      <c r="C19" s="145" t="s">
        <v>187</v>
      </c>
      <c r="H19" s="158" t="s">
        <v>1659</v>
      </c>
      <c r="J19" s="145" t="s">
        <v>1654</v>
      </c>
    </row>
    <row r="20" spans="1:10" ht="39" x14ac:dyDescent="0.25">
      <c r="A20" s="145" t="s">
        <v>1641</v>
      </c>
      <c r="B20" s="145" t="s">
        <v>1173</v>
      </c>
      <c r="C20" s="145" t="s">
        <v>1639</v>
      </c>
      <c r="E20" s="145" t="s">
        <v>1644</v>
      </c>
      <c r="H20" s="158" t="s">
        <v>1652</v>
      </c>
      <c r="J20" s="145" t="s">
        <v>1653</v>
      </c>
    </row>
    <row r="21" spans="1:10" ht="52" x14ac:dyDescent="0.25">
      <c r="A21" s="145" t="s">
        <v>1640</v>
      </c>
      <c r="B21" s="145" t="s">
        <v>1642</v>
      </c>
      <c r="C21" s="145" t="s">
        <v>1643</v>
      </c>
      <c r="E21" s="145" t="s">
        <v>1644</v>
      </c>
      <c r="H21" s="158" t="s">
        <v>1660</v>
      </c>
      <c r="J21" s="145" t="s">
        <v>1655</v>
      </c>
    </row>
    <row r="22" spans="1:10" ht="26" x14ac:dyDescent="0.25">
      <c r="A22" s="145" t="s">
        <v>1646</v>
      </c>
      <c r="B22" s="145" t="s">
        <v>1173</v>
      </c>
      <c r="C22" s="145" t="s">
        <v>1647</v>
      </c>
      <c r="E22" s="145" t="s">
        <v>1662</v>
      </c>
      <c r="H22" s="158" t="s">
        <v>1661</v>
      </c>
      <c r="J22" s="145" t="s">
        <v>1656</v>
      </c>
    </row>
    <row r="23" spans="1:10" ht="52" x14ac:dyDescent="0.25">
      <c r="A23" s="145" t="s">
        <v>1648</v>
      </c>
      <c r="B23" s="145" t="s">
        <v>1736</v>
      </c>
      <c r="C23" s="145" t="s">
        <v>1649</v>
      </c>
      <c r="E23" s="145" t="s">
        <v>1650</v>
      </c>
      <c r="F23" s="145" t="s">
        <v>1651</v>
      </c>
      <c r="H23" s="158"/>
      <c r="J23" s="145" t="s">
        <v>1657</v>
      </c>
    </row>
    <row r="24" spans="1:10" ht="26" x14ac:dyDescent="0.25">
      <c r="A24" s="145" t="s">
        <v>1663</v>
      </c>
      <c r="B24" s="145" t="s">
        <v>1173</v>
      </c>
      <c r="C24" s="145" t="s">
        <v>1664</v>
      </c>
      <c r="H24" s="158" t="s">
        <v>1665</v>
      </c>
      <c r="J24" s="145" t="s">
        <v>1666</v>
      </c>
    </row>
    <row r="25" spans="1:10" ht="39" x14ac:dyDescent="0.25">
      <c r="A25" s="145" t="s">
        <v>1667</v>
      </c>
      <c r="B25" s="145" t="s">
        <v>1668</v>
      </c>
      <c r="C25" s="145" t="s">
        <v>1634</v>
      </c>
      <c r="H25" s="158" t="s">
        <v>1669</v>
      </c>
      <c r="J25" s="145" t="s">
        <v>1670</v>
      </c>
    </row>
    <row r="26" spans="1:10" ht="39" x14ac:dyDescent="0.25">
      <c r="A26" s="145" t="s">
        <v>1673</v>
      </c>
      <c r="B26" s="145" t="s">
        <v>1671</v>
      </c>
      <c r="C26" s="145" t="s">
        <v>172</v>
      </c>
      <c r="E26" s="145" t="s">
        <v>1678</v>
      </c>
      <c r="H26" s="158"/>
      <c r="J26" s="145" t="s">
        <v>1672</v>
      </c>
    </row>
    <row r="27" spans="1:10" ht="39" x14ac:dyDescent="0.25">
      <c r="A27" s="145" t="s">
        <v>1675</v>
      </c>
      <c r="B27" s="145" t="s">
        <v>756</v>
      </c>
      <c r="C27" s="145" t="s">
        <v>1385</v>
      </c>
      <c r="E27" s="145" t="s">
        <v>1679</v>
      </c>
      <c r="F27" s="145" t="s">
        <v>1680</v>
      </c>
      <c r="H27" s="158" t="s">
        <v>1676</v>
      </c>
      <c r="J27" s="145" t="s">
        <v>1677</v>
      </c>
    </row>
    <row r="28" spans="1:10" ht="26" x14ac:dyDescent="0.25">
      <c r="A28" s="145" t="s">
        <v>1681</v>
      </c>
      <c r="B28" s="145" t="s">
        <v>1682</v>
      </c>
      <c r="C28" s="145" t="s">
        <v>172</v>
      </c>
      <c r="E28" s="145" t="s">
        <v>1685</v>
      </c>
      <c r="F28" s="145" t="s">
        <v>1674</v>
      </c>
      <c r="H28" s="158" t="s">
        <v>1683</v>
      </c>
      <c r="J28" s="145" t="s">
        <v>1684</v>
      </c>
    </row>
    <row r="29" spans="1:10" ht="39" x14ac:dyDescent="0.25">
      <c r="A29" s="145" t="s">
        <v>1686</v>
      </c>
      <c r="B29" s="145" t="s">
        <v>1687</v>
      </c>
      <c r="C29" s="145" t="s">
        <v>1688</v>
      </c>
      <c r="H29" s="158" t="s">
        <v>1689</v>
      </c>
      <c r="J29" s="145" t="s">
        <v>1690</v>
      </c>
    </row>
    <row r="30" spans="1:10" ht="39" x14ac:dyDescent="0.25">
      <c r="A30" s="145" t="s">
        <v>1691</v>
      </c>
      <c r="B30" s="145" t="s">
        <v>1692</v>
      </c>
      <c r="C30" s="145" t="s">
        <v>1693</v>
      </c>
      <c r="E30" s="145" t="s">
        <v>1674</v>
      </c>
      <c r="F30" s="145" t="s">
        <v>1695</v>
      </c>
      <c r="H30" s="158" t="s">
        <v>1694</v>
      </c>
      <c r="J30" s="145" t="s">
        <v>1696</v>
      </c>
    </row>
    <row r="31" spans="1:10" ht="26" x14ac:dyDescent="0.25">
      <c r="A31" s="145" t="s">
        <v>1697</v>
      </c>
      <c r="B31" s="145" t="s">
        <v>1698</v>
      </c>
      <c r="C31" s="145" t="s">
        <v>172</v>
      </c>
      <c r="E31" s="145" t="s">
        <v>1701</v>
      </c>
      <c r="F31" s="145" t="s">
        <v>1702</v>
      </c>
      <c r="H31" s="158" t="s">
        <v>1700</v>
      </c>
      <c r="J31" s="145" t="s">
        <v>1699</v>
      </c>
    </row>
    <row r="32" spans="1:10" ht="26" x14ac:dyDescent="0.25">
      <c r="A32" s="145" t="s">
        <v>1703</v>
      </c>
      <c r="B32" s="145" t="s">
        <v>69</v>
      </c>
      <c r="C32" s="145" t="s">
        <v>1704</v>
      </c>
      <c r="E32" s="145" t="s">
        <v>1707</v>
      </c>
      <c r="H32" s="158" t="s">
        <v>1705</v>
      </c>
      <c r="J32" s="145" t="s">
        <v>1706</v>
      </c>
    </row>
    <row r="33" spans="1:10" ht="26" x14ac:dyDescent="0.25">
      <c r="A33" s="145" t="s">
        <v>1710</v>
      </c>
      <c r="B33" s="145" t="s">
        <v>1173</v>
      </c>
      <c r="C33" s="145" t="s">
        <v>1708</v>
      </c>
      <c r="E33" s="145" t="s">
        <v>1709</v>
      </c>
      <c r="F33" s="145" t="s">
        <v>1688</v>
      </c>
      <c r="H33" s="158" t="s">
        <v>1711</v>
      </c>
    </row>
    <row r="34" spans="1:10" x14ac:dyDescent="0.25">
      <c r="A34" s="145" t="s">
        <v>1715</v>
      </c>
      <c r="B34" s="145" t="s">
        <v>1173</v>
      </c>
      <c r="C34" s="145" t="s">
        <v>1712</v>
      </c>
      <c r="E34" s="145" t="s">
        <v>115</v>
      </c>
      <c r="H34" s="158" t="s">
        <v>1713</v>
      </c>
      <c r="J34" s="145" t="s">
        <v>1714</v>
      </c>
    </row>
    <row r="35" spans="1:10" ht="52" x14ac:dyDescent="0.25">
      <c r="A35" s="145" t="s">
        <v>1200</v>
      </c>
      <c r="B35" s="145" t="s">
        <v>1716</v>
      </c>
      <c r="C35" s="145" t="s">
        <v>1717</v>
      </c>
      <c r="E35" s="145" t="s">
        <v>1644</v>
      </c>
      <c r="F35" s="145" t="s">
        <v>1719</v>
      </c>
      <c r="H35" s="159" t="s">
        <v>1720</v>
      </c>
      <c r="J35" s="160" t="s">
        <v>1718</v>
      </c>
    </row>
    <row r="36" spans="1:10" ht="26" x14ac:dyDescent="0.25">
      <c r="A36" s="145" t="s">
        <v>1721</v>
      </c>
      <c r="B36" s="145" t="s">
        <v>1173</v>
      </c>
      <c r="C36" s="145" t="s">
        <v>1717</v>
      </c>
      <c r="E36" s="145" t="s">
        <v>1644</v>
      </c>
      <c r="H36" s="158" t="s">
        <v>1722</v>
      </c>
    </row>
    <row r="37" spans="1:10" ht="39" x14ac:dyDescent="0.25">
      <c r="A37" s="145" t="s">
        <v>1723</v>
      </c>
      <c r="B37" s="145" t="s">
        <v>1724</v>
      </c>
      <c r="C37" s="145" t="s">
        <v>1725</v>
      </c>
      <c r="E37" s="145" t="s">
        <v>1644</v>
      </c>
      <c r="F37" s="145" t="s">
        <v>1727</v>
      </c>
      <c r="H37" s="158" t="s">
        <v>1726</v>
      </c>
    </row>
    <row r="38" spans="1:10" ht="26" x14ac:dyDescent="0.25">
      <c r="A38" s="145" t="s">
        <v>1737</v>
      </c>
      <c r="B38" s="145" t="s">
        <v>1742</v>
      </c>
      <c r="C38" s="145" t="s">
        <v>1738</v>
      </c>
      <c r="D38" s="145" t="s">
        <v>1735</v>
      </c>
      <c r="E38" s="145" t="s">
        <v>1739</v>
      </c>
      <c r="F38" s="145" t="s">
        <v>1735</v>
      </c>
      <c r="H38" s="161" t="s">
        <v>1740</v>
      </c>
      <c r="I38" s="159" t="s">
        <v>1741</v>
      </c>
      <c r="J38" s="145" t="s">
        <v>1743</v>
      </c>
    </row>
    <row r="39" spans="1:10" ht="52" x14ac:dyDescent="0.25">
      <c r="A39" s="145" t="s">
        <v>168</v>
      </c>
      <c r="B39" s="145" t="s">
        <v>169</v>
      </c>
      <c r="D39" s="145" t="s">
        <v>170</v>
      </c>
      <c r="E39" s="145" t="s">
        <v>171</v>
      </c>
      <c r="H39" s="158" t="s">
        <v>173</v>
      </c>
      <c r="J39" s="145" t="s">
        <v>174</v>
      </c>
    </row>
  </sheetData>
  <mergeCells count="1">
    <mergeCell ref="A1:F1"/>
  </mergeCells>
  <phoneticPr fontId="33" type="noConversion"/>
  <hyperlinks>
    <hyperlink ref="I4" r:id="rId1" display="mailto:stephan.gill@gggi.org" xr:uid="{1D554E4A-1A16-439A-A25F-ED197C3134E0}"/>
    <hyperlink ref="H4" r:id="rId2" xr:uid="{08E3E0E1-E3CB-4DEB-BB45-4C325C32A73F}"/>
    <hyperlink ref="H6" r:id="rId3" location="project-pds" xr:uid="{49019586-59CE-4D91-AFC1-16D4D50687D4}"/>
    <hyperlink ref="I5" r:id="rId4" display="mailto:ximena.aristizabal@gggi.org" xr:uid="{365E4CD7-CCBA-4EC2-92D1-41E831913A49}"/>
    <hyperlink ref="H5" r:id="rId5" xr:uid="{48734C5C-1C52-4DC0-8CFF-414B44C52187}"/>
    <hyperlink ref="I8" r:id="rId6" display="mailto:marshall.brown@gggi.org" xr:uid="{B54337B2-0522-497C-9E20-24AC46D4B9B5}"/>
    <hyperlink ref="H8" r:id="rId7" display="https://gggi.org/global-program/carbon-pricing-unit-cpu/" xr:uid="{4A54AFF9-C7C6-4DE2-826F-62ECDFA5A3A1}"/>
    <hyperlink ref="H7" r:id="rId8" xr:uid="{70751E99-11B3-476C-8DDE-12325B823452}"/>
    <hyperlink ref="H9" r:id="rId9" xr:uid="{78CF5882-D1FD-4183-9277-D58DF2AE0087}"/>
    <hyperlink ref="H10" r:id="rId10" xr:uid="{BEC50508-9DC5-47E9-9FB3-65511F6720BE}"/>
    <hyperlink ref="H11" r:id="rId11" xr:uid="{16B57A4F-3EE9-425F-9AA9-DA43A1286E33}"/>
    <hyperlink ref="H14" r:id="rId12" xr:uid="{7CD0C2C4-1DF6-4BE8-B07F-AAAE71730F1D}"/>
    <hyperlink ref="H13" r:id="rId13" xr:uid="{B0DD92FB-D95A-4E9B-80D7-631D06CF2003}"/>
    <hyperlink ref="H12" r:id="rId14" xr:uid="{86803B73-10B7-4A46-85FF-B8613CE92DF5}"/>
    <hyperlink ref="H15" r:id="rId15" xr:uid="{87F811A5-D8A3-49FF-972D-B220084C8CA6}"/>
    <hyperlink ref="H16" r:id="rId16" xr:uid="{B0F4138E-483C-4FCA-8BE8-B889E2EA507E}"/>
    <hyperlink ref="H17" r:id="rId17" xr:uid="{6A2DE5FA-0A9C-425E-8B81-9ECAB19013B3}"/>
    <hyperlink ref="H18" r:id="rId18" xr:uid="{ECFD5BC3-3686-4A1D-A2A8-ACD9CCFF4807}"/>
    <hyperlink ref="H21" r:id="rId19" xr:uid="{767FF962-C8C0-4463-83C8-7D3746A7F4B3}"/>
    <hyperlink ref="H22" r:id="rId20" xr:uid="{24228EFC-EF2D-4BE4-99EC-F94E17710371}"/>
    <hyperlink ref="H25" r:id="rId21" xr:uid="{0349518B-D8A2-4E72-B118-B817D1BB40D9}"/>
    <hyperlink ref="H27" r:id="rId22" xr:uid="{A3BC39E5-FD06-4A7A-ACDF-05958C5E8CC3}"/>
    <hyperlink ref="H28" r:id="rId23" xr:uid="{5E35E498-3577-4940-932C-FEB97E28BB7C}"/>
    <hyperlink ref="H29" r:id="rId24" xr:uid="{2FBFFEDC-7FFB-4285-B9A6-D9922A0318B5}"/>
    <hyperlink ref="H30" r:id="rId25" xr:uid="{922FE12D-239E-4245-B115-29657B5A135B}"/>
    <hyperlink ref="H31" r:id="rId26" xr:uid="{A2A64DB7-C3DD-438C-9C30-2C3E30B71C63}"/>
    <hyperlink ref="H32" r:id="rId27" xr:uid="{43AD6FDD-C430-4E7C-BF85-D56F75D0264F}"/>
    <hyperlink ref="H33" r:id="rId28" xr:uid="{5C314570-D04A-4459-9C8C-DF41F608EAF0}"/>
    <hyperlink ref="H34" r:id="rId29" xr:uid="{689A7544-0825-49A0-927C-9399A3D70E27}"/>
    <hyperlink ref="H35" r:id="rId30" xr:uid="{4F2A4578-A4B7-44EA-AA1D-B83603ADD7BA}"/>
    <hyperlink ref="H36" r:id="rId31" location="/homepage" xr:uid="{A9DB16DB-BB13-4D21-AC13-17EC44DA36F4}"/>
    <hyperlink ref="H37" r:id="rId32" xr:uid="{73F14EB6-6EAE-4E99-94B4-E11021C46E56}"/>
    <hyperlink ref="H38" r:id="rId33" display="https://unepccc.org/project/integrated-assessment-for-article-6-iaa6/" xr:uid="{7F0F0482-4FC1-4746-89CC-4A177D510DFE}"/>
    <hyperlink ref="I38" r:id="rId34" xr:uid="{D1BC0FAE-9CE0-46DD-B81E-2500F7CBA62D}"/>
  </hyperlinks>
  <pageMargins left="0.74803149606299213" right="0.74803149606299213" top="0.74803149606299213" bottom="0.74803149606299213" header="0.15748031496062992" footer="0.15748031496062992"/>
  <pageSetup paperSize="9" scale="48" fitToWidth="0" orientation="landscape" r:id="rId35"/>
  <headerFooter alignWithMargins="0"/>
  <drawing r:id="rId36"/>
  <tableParts count="1">
    <tablePart r:id="rId3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1A43-9525-4931-B5D7-829E7C4B9F3B}">
  <dimension ref="A1:S428"/>
  <sheetViews>
    <sheetView showGridLines="0" topLeftCell="A16" zoomScale="90" zoomScaleNormal="90" workbookViewId="0">
      <selection activeCell="E65" sqref="E65"/>
    </sheetView>
  </sheetViews>
  <sheetFormatPr defaultColWidth="9.26953125" defaultRowHeight="14" x14ac:dyDescent="0.3"/>
  <cols>
    <col min="1" max="1" width="26.453125" style="2" customWidth="1"/>
    <col min="2" max="2" width="11.7265625" style="2" customWidth="1"/>
    <col min="3" max="3" width="12.1796875" style="2" customWidth="1"/>
    <col min="4" max="4" width="21.81640625" style="2" customWidth="1"/>
    <col min="5" max="5" width="10.7265625" style="2" bestFit="1" customWidth="1"/>
    <col min="6" max="6" width="15" style="2" customWidth="1"/>
    <col min="7" max="7" width="8.54296875" style="2" customWidth="1"/>
    <col min="8" max="17" width="9.26953125" style="2"/>
    <col min="18" max="22" width="23" style="2" customWidth="1"/>
    <col min="23" max="16384" width="9.26953125" style="2"/>
  </cols>
  <sheetData>
    <row r="1" spans="1:5" x14ac:dyDescent="0.3">
      <c r="A1" s="178" t="s">
        <v>1762</v>
      </c>
    </row>
    <row r="2" spans="1:5" x14ac:dyDescent="0.3">
      <c r="A2" s="176"/>
      <c r="B2" s="201" t="s">
        <v>1754</v>
      </c>
      <c r="C2" s="202"/>
      <c r="D2" s="202"/>
      <c r="E2" s="34"/>
    </row>
    <row r="3" spans="1:5" x14ac:dyDescent="0.3">
      <c r="A3" s="179" t="s">
        <v>806</v>
      </c>
      <c r="B3" s="190" t="s">
        <v>4</v>
      </c>
      <c r="C3" s="183" t="s">
        <v>5</v>
      </c>
      <c r="D3" s="185" t="s">
        <v>805</v>
      </c>
      <c r="E3" s="184" t="s">
        <v>1752</v>
      </c>
    </row>
    <row r="4" spans="1:5" x14ac:dyDescent="0.3">
      <c r="A4" s="179" t="s">
        <v>945</v>
      </c>
      <c r="B4" s="187" t="s">
        <v>963</v>
      </c>
      <c r="C4" s="187" t="s">
        <v>964</v>
      </c>
      <c r="D4" s="187" t="s">
        <v>944</v>
      </c>
      <c r="E4" s="188" t="str">
        <f>IF(COUNTIFS(Pilots[Host country],Analysis!D4,Pilots[Buying country],Analysis!Q118)+COUNTIFS(JCM[Host country],Analysis!D4,JCM[Buying country],Analysis!Q118)=0,"-",COUNTIFS(Pilots[Host country],Analysis!D4,Pilots[Buying country],Analysis!Q118)+COUNTIFS(JCM[Host country],Analysis!D4,JCM[Buying country],Analysis!Q118))</f>
        <v>-</v>
      </c>
    </row>
    <row r="5" spans="1:5" x14ac:dyDescent="0.3">
      <c r="A5" s="181"/>
      <c r="B5" s="189"/>
      <c r="C5" s="189"/>
      <c r="D5" s="189" t="s">
        <v>813</v>
      </c>
      <c r="E5" s="177" t="str">
        <f>IF(COUNTIFS(Pilots[Host country],Analysis!D5,Pilots[Buying country],Analysis!Q119)+COUNTIFS(JCM[Host country],Analysis!D5,JCM[Buying country],Analysis!Q119)=0,"-",COUNTIFS(Pilots[Host country],Analysis!D5,Pilots[Buying country],Analysis!Q119)+COUNTIFS(JCM[Host country],Analysis!D5,JCM[Buying country],Analysis!Q119))</f>
        <v>-</v>
      </c>
    </row>
    <row r="6" spans="1:5" x14ac:dyDescent="0.3">
      <c r="A6" s="179" t="s">
        <v>187</v>
      </c>
      <c r="B6" s="187" t="s">
        <v>954</v>
      </c>
      <c r="C6" s="187" t="s">
        <v>965</v>
      </c>
      <c r="D6" s="187" t="s">
        <v>868</v>
      </c>
      <c r="E6" s="188" t="str">
        <f>IF(COUNTIFS(Pilots[Host country],Analysis!D6,Pilots[Buying country],Analysis!Q120)+COUNTIFS(JCM[Host country],Analysis!D6,JCM[Buying country],Analysis!Q120)=0,"-",COUNTIFS(Pilots[Host country],Analysis!D6,Pilots[Buying country],Analysis!Q120)+COUNTIFS(JCM[Host country],Analysis!D6,JCM[Buying country],Analysis!Q120))</f>
        <v>-</v>
      </c>
    </row>
    <row r="7" spans="1:5" x14ac:dyDescent="0.3">
      <c r="A7" s="182"/>
      <c r="B7" s="1"/>
      <c r="C7" s="1"/>
      <c r="D7" s="1" t="s">
        <v>565</v>
      </c>
      <c r="E7" s="186">
        <f>IF(COUNTIFS(Pilots[Host country],Analysis!D7,Pilots[Buying country],Analysis!Q121)+COUNTIFS(JCM[Host country],Analysis!D7,JCM[Buying country],Analysis!Q121)=0,"-",COUNTIFS(Pilots[Host country],Analysis!D7,Pilots[Buying country],Analysis!Q121)+COUNTIFS(JCM[Host country],Analysis!D7,JCM[Buying country],Analysis!Q121))</f>
        <v>2</v>
      </c>
    </row>
    <row r="8" spans="1:5" x14ac:dyDescent="0.3">
      <c r="A8" s="182"/>
      <c r="B8" s="1"/>
      <c r="C8" s="1" t="s">
        <v>956</v>
      </c>
      <c r="D8" s="1" t="s">
        <v>902</v>
      </c>
      <c r="E8" s="186" t="str">
        <f>IF(COUNTIFS(Pilots[Host country],Analysis!D8,Pilots[Buying country],Analysis!Q122)+COUNTIFS(JCM[Host country],Analysis!D8,JCM[Buying country],Analysis!Q122)=0,"-",COUNTIFS(Pilots[Host country],Analysis!D8,Pilots[Buying country],Analysis!Q122)+COUNTIFS(JCM[Host country],Analysis!D8,JCM[Buying country],Analysis!Q122))</f>
        <v>-</v>
      </c>
    </row>
    <row r="9" spans="1:5" x14ac:dyDescent="0.3">
      <c r="A9" s="182"/>
      <c r="B9" s="1"/>
      <c r="C9" s="1" t="s">
        <v>955</v>
      </c>
      <c r="D9" s="1" t="s">
        <v>33</v>
      </c>
      <c r="E9" s="186" t="str">
        <f>IF(COUNTIFS(Pilots[Host country],Analysis!D9,Pilots[Buying country],Analysis!Q123)+COUNTIFS(JCM[Host country],Analysis!D9,JCM[Buying country],Analysis!Q123)=0,"-",COUNTIFS(Pilots[Host country],Analysis!D9,Pilots[Buying country],Analysis!Q123)+COUNTIFS(JCM[Host country],Analysis!D9,JCM[Buying country],Analysis!Q123))</f>
        <v>-</v>
      </c>
    </row>
    <row r="10" spans="1:5" x14ac:dyDescent="0.3">
      <c r="A10" s="182"/>
      <c r="B10" s="1" t="s">
        <v>952</v>
      </c>
      <c r="C10" s="1" t="s">
        <v>970</v>
      </c>
      <c r="D10" s="1" t="s">
        <v>771</v>
      </c>
      <c r="E10" s="186">
        <f>IF(COUNTIFS(Pilots[Host country],Analysis!D10,Pilots[Buying country],Analysis!Q124)+COUNTIFS(JCM[Host country],Analysis!D10,JCM[Buying country],Analysis!Q124)=0,"-",COUNTIFS(Pilots[Host country],Analysis!D10,Pilots[Buying country],Analysis!Q124)+COUNTIFS(JCM[Host country],Analysis!D10,JCM[Buying country],Analysis!Q124))</f>
        <v>2</v>
      </c>
    </row>
    <row r="11" spans="1:5" x14ac:dyDescent="0.3">
      <c r="A11" s="182"/>
      <c r="B11" s="1"/>
      <c r="C11" s="1"/>
      <c r="D11" s="1" t="s">
        <v>887</v>
      </c>
      <c r="E11" s="186" t="str">
        <f>IF(COUNTIFS(Pilots[Host country],Analysis!D11,Pilots[Buying country],Analysis!Q125)+COUNTIFS(JCM[Host country],Analysis!D11,JCM[Buying country],Analysis!Q125)=0,"-",COUNTIFS(Pilots[Host country],Analysis!D11,Pilots[Buying country],Analysis!Q125)+COUNTIFS(JCM[Host country],Analysis!D11,JCM[Buying country],Analysis!Q125))</f>
        <v>-</v>
      </c>
    </row>
    <row r="12" spans="1:5" x14ac:dyDescent="0.3">
      <c r="A12" s="182"/>
      <c r="B12" s="1"/>
      <c r="C12" s="1" t="s">
        <v>953</v>
      </c>
      <c r="D12" s="1" t="s">
        <v>756</v>
      </c>
      <c r="E12" s="186">
        <f>IF(COUNTIFS(Pilots[Host country],Analysis!D12,Pilots[Buying country],Analysis!Q126)+COUNTIFS(JCM[Host country],Analysis!D12,JCM[Buying country],Analysis!Q126)=0,"-",COUNTIFS(Pilots[Host country],Analysis!D12,Pilots[Buying country],Analysis!Q126)+COUNTIFS(JCM[Host country],Analysis!D12,JCM[Buying country],Analysis!Q126))</f>
        <v>2</v>
      </c>
    </row>
    <row r="13" spans="1:5" x14ac:dyDescent="0.3">
      <c r="A13" s="182"/>
      <c r="B13" s="1" t="s">
        <v>835</v>
      </c>
      <c r="C13" s="1" t="s">
        <v>972</v>
      </c>
      <c r="D13" s="1" t="s">
        <v>908</v>
      </c>
      <c r="E13" s="186" t="str">
        <f>IF(COUNTIFS(Pilots[Host country],Analysis!D13,Pilots[Buying country],Analysis!Q127)+COUNTIFS(JCM[Host country],Analysis!D13,JCM[Buying country],Analysis!Q127)=0,"-",COUNTIFS(Pilots[Host country],Analysis!D13,Pilots[Buying country],Analysis!Q127)+COUNTIFS(JCM[Host country],Analysis!D13,JCM[Buying country],Analysis!Q127))</f>
        <v>-</v>
      </c>
    </row>
    <row r="14" spans="1:5" x14ac:dyDescent="0.3">
      <c r="A14" s="182"/>
      <c r="B14" s="1"/>
      <c r="C14" s="1" t="s">
        <v>957</v>
      </c>
      <c r="D14" s="1" t="s">
        <v>466</v>
      </c>
      <c r="E14" s="186">
        <f>IF(COUNTIFS(Pilots[Host country],Analysis!D14,Pilots[Buying country],Analysis!Q128)+COUNTIFS(JCM[Host country],Analysis!D14,JCM[Buying country],Analysis!Q128)=0,"-",COUNTIFS(Pilots[Host country],Analysis!D14,Pilots[Buying country],Analysis!Q128)+COUNTIFS(JCM[Host country],Analysis!D14,JCM[Buying country],Analysis!Q128))</f>
        <v>6</v>
      </c>
    </row>
    <row r="15" spans="1:5" x14ac:dyDescent="0.3">
      <c r="A15" s="182"/>
      <c r="B15" s="1"/>
      <c r="C15" s="1" t="s">
        <v>1044</v>
      </c>
      <c r="D15" s="1" t="s">
        <v>532</v>
      </c>
      <c r="E15" s="186">
        <f>IF(COUNTIFS(Pilots[Host country],Analysis!D15,Pilots[Buying country],Analysis!Q129)+COUNTIFS(JCM[Host country],Analysis!D15,JCM[Buying country],Analysis!Q129)=0,"-",COUNTIFS(Pilots[Host country],Analysis!D15,Pilots[Buying country],Analysis!Q129)+COUNTIFS(JCM[Host country],Analysis!D15,JCM[Buying country],Analysis!Q129))</f>
        <v>5</v>
      </c>
    </row>
    <row r="16" spans="1:5" x14ac:dyDescent="0.3">
      <c r="A16" s="182"/>
      <c r="B16" s="1"/>
      <c r="C16" s="1"/>
      <c r="D16" s="1" t="s">
        <v>579</v>
      </c>
      <c r="E16" s="186">
        <f>IF(COUNTIFS(Pilots[Host country],Analysis!D16,Pilots[Buying country],Analysis!Q130)+COUNTIFS(JCM[Host country],Analysis!D16,JCM[Buying country],Analysis!Q130)=0,"-",COUNTIFS(Pilots[Host country],Analysis!D16,Pilots[Buying country],Analysis!Q130)+COUNTIFS(JCM[Host country],Analysis!D16,JCM[Buying country],Analysis!Q130))</f>
        <v>32</v>
      </c>
    </row>
    <row r="17" spans="1:5" x14ac:dyDescent="0.3">
      <c r="A17" s="182"/>
      <c r="B17" s="1"/>
      <c r="C17" s="1"/>
      <c r="D17" s="1" t="s">
        <v>959</v>
      </c>
      <c r="E17" s="186">
        <f>IF(COUNTIFS(Pilots[Host country],Analysis!D17,Pilots[Buying country],Analysis!Q131)+COUNTIFS(JCM[Host country],Analysis!D17,JCM[Buying country],Analysis!Q131)=0,"-",COUNTIFS(Pilots[Host country],Analysis!D17,Pilots[Buying country],Analysis!Q131)+COUNTIFS(JCM[Host country],Analysis!D17,JCM[Buying country],Analysis!Q131))</f>
        <v>4</v>
      </c>
    </row>
    <row r="18" spans="1:5" x14ac:dyDescent="0.3">
      <c r="A18" s="182"/>
      <c r="B18" s="1"/>
      <c r="C18" s="1"/>
      <c r="D18" s="1" t="s">
        <v>496</v>
      </c>
      <c r="E18" s="186">
        <f>IF(COUNTIFS(Pilots[Host country],Analysis!D18,Pilots[Buying country],Analysis!Q132)+COUNTIFS(JCM[Host country],Analysis!D18,JCM[Buying country],Analysis!Q132)=0,"-",COUNTIFS(Pilots[Host country],Analysis!D18,Pilots[Buying country],Analysis!Q132)+COUNTIFS(JCM[Host country],Analysis!D18,JCM[Buying country],Analysis!Q132))</f>
        <v>2</v>
      </c>
    </row>
    <row r="19" spans="1:5" x14ac:dyDescent="0.3">
      <c r="A19" s="182"/>
      <c r="B19" s="1"/>
      <c r="C19" s="1"/>
      <c r="D19" s="1" t="s">
        <v>434</v>
      </c>
      <c r="E19" s="186">
        <f>IF(COUNTIFS(Pilots[Host country],Analysis!D19,Pilots[Buying country],Analysis!Q133)+COUNTIFS(JCM[Host country],Analysis!D19,JCM[Buying country],Analysis!Q133)=0,"-",COUNTIFS(Pilots[Host country],Analysis!D19,Pilots[Buying country],Analysis!Q133)+COUNTIFS(JCM[Host country],Analysis!D19,JCM[Buying country],Analysis!Q133))</f>
        <v>4</v>
      </c>
    </row>
    <row r="20" spans="1:5" x14ac:dyDescent="0.3">
      <c r="A20" s="182"/>
      <c r="B20" s="1"/>
      <c r="C20" s="1"/>
      <c r="D20" s="1" t="s">
        <v>20</v>
      </c>
      <c r="E20" s="186">
        <f>COUNTIF(JCM!C5:C100,Analysis!D20)</f>
        <v>24</v>
      </c>
    </row>
    <row r="21" spans="1:5" x14ac:dyDescent="0.3">
      <c r="A21" s="182"/>
      <c r="B21" s="1"/>
      <c r="C21" s="1"/>
      <c r="D21" s="1" t="s">
        <v>180</v>
      </c>
      <c r="E21" s="186">
        <f>IF(COUNTIFS(Pilots[Host country],Analysis!D21,Pilots[Buying country],Analysis!Q135)+COUNTIFS(JCM[Host country],Analysis!D21,JCM[Buying country],Analysis!Q135)=0,"-",COUNTIFS(Pilots[Host country],Analysis!D21,Pilots[Buying country],Analysis!Q135)+COUNTIFS(JCM[Host country],Analysis!D21,JCM[Buying country],Analysis!Q135))</f>
        <v>18</v>
      </c>
    </row>
    <row r="22" spans="1:5" x14ac:dyDescent="0.3">
      <c r="A22" s="182"/>
      <c r="B22" s="1"/>
      <c r="C22" s="1" t="s">
        <v>960</v>
      </c>
      <c r="D22" s="1" t="s">
        <v>782</v>
      </c>
      <c r="E22" s="186">
        <f>IF(COUNTIFS(Pilots[Host country],Analysis!D22,Pilots[Buying country],Analysis!Q136)+COUNTIFS(JCM[Host country],Analysis!D22,JCM[Buying country],Analysis!Q136)=0,"-",COUNTIFS(Pilots[Host country],Analysis!D22,Pilots[Buying country],Analysis!Q136)+COUNTIFS(JCM[Host country],Analysis!D22,JCM[Buying country],Analysis!Q136))</f>
        <v>4</v>
      </c>
    </row>
    <row r="23" spans="1:5" x14ac:dyDescent="0.3">
      <c r="A23" s="182"/>
      <c r="B23" s="1"/>
      <c r="C23" s="1"/>
      <c r="D23" s="1" t="s">
        <v>454</v>
      </c>
      <c r="E23" s="186">
        <f>IF(COUNTIFS(Pilots[Host country],Analysis!D23,Pilots[Buying country],Analysis!Q137)+COUNTIFS(JCM[Host country],Analysis!D23,JCM[Buying country],Analysis!Q137)=0,"-",COUNTIFS(Pilots[Host country],Analysis!D23,Pilots[Buying country],Analysis!Q137)+COUNTIFS(JCM[Host country],Analysis!D23,JCM[Buying country],Analysis!Q137))</f>
        <v>2</v>
      </c>
    </row>
    <row r="24" spans="1:5" x14ac:dyDescent="0.3">
      <c r="A24" s="182"/>
      <c r="B24" s="1"/>
      <c r="C24" s="1"/>
      <c r="D24" s="1" t="s">
        <v>916</v>
      </c>
      <c r="E24" s="186" t="str">
        <f>IF(COUNTIFS(Pilots[Host country],Analysis!D24,Pilots[Buying country],Analysis!Q138)+COUNTIFS(JCM[Host country],Analysis!D24,JCM[Buying country],Analysis!Q138)=0,"-",COUNTIFS(Pilots[Host country],Analysis!D24,Pilots[Buying country],Analysis!Q138)+COUNTIFS(JCM[Host country],Analysis!D24,JCM[Buying country],Analysis!Q138))</f>
        <v>-</v>
      </c>
    </row>
    <row r="25" spans="1:5" x14ac:dyDescent="0.3">
      <c r="A25" s="182"/>
      <c r="B25" s="1"/>
      <c r="C25" s="1" t="s">
        <v>962</v>
      </c>
      <c r="D25" s="1" t="s">
        <v>905</v>
      </c>
      <c r="E25" s="186" t="str">
        <f>IF(COUNTIFS(Pilots[Host country],Analysis!D25,Pilots[Buying country],Analysis!Q139)+COUNTIFS(JCM[Host country],Analysis!D25,JCM[Buying country],Analysis!Q139)=0,"-",COUNTIFS(Pilots[Host country],Analysis!D25,Pilots[Buying country],Analysis!Q139)+COUNTIFS(JCM[Host country],Analysis!D25,JCM[Buying country],Analysis!Q139))</f>
        <v>-</v>
      </c>
    </row>
    <row r="26" spans="1:5" x14ac:dyDescent="0.3">
      <c r="A26" s="182"/>
      <c r="B26" s="1"/>
      <c r="C26" s="1"/>
      <c r="D26" s="1" t="s">
        <v>150</v>
      </c>
      <c r="E26" s="186" t="str">
        <f>IF(COUNTIFS(Pilots[Host country],Analysis!D26,Pilots[Buying country],Analysis!Q140)+COUNTIFS(JCM[Host country],Analysis!D26,JCM[Buying country],Analysis!Q140)=0,"-",COUNTIFS(Pilots[Host country],Analysis!D26,Pilots[Buying country],Analysis!Q140)+COUNTIFS(JCM[Host country],Analysis!D26,JCM[Buying country],Analysis!Q140))</f>
        <v>-</v>
      </c>
    </row>
    <row r="27" spans="1:5" x14ac:dyDescent="0.3">
      <c r="A27" s="182"/>
      <c r="B27" s="1"/>
      <c r="C27" s="1"/>
      <c r="D27" s="1" t="s">
        <v>403</v>
      </c>
      <c r="E27" s="186">
        <f>IF(COUNTIFS(Pilots[Host country],Analysis!D27,Pilots[Buying country],Analysis!Q141)+COUNTIFS(JCM[Host country],Analysis!D27,JCM[Buying country],Analysis!Q141)=0,"-",COUNTIFS(Pilots[Host country],Analysis!D27,Pilots[Buying country],Analysis!Q141)+COUNTIFS(JCM[Host country],Analysis!D27,JCM[Buying country],Analysis!Q141))</f>
        <v>1</v>
      </c>
    </row>
    <row r="28" spans="1:5" x14ac:dyDescent="0.3">
      <c r="A28" s="182"/>
      <c r="B28" s="1"/>
      <c r="C28" s="1"/>
      <c r="D28" s="1" t="s">
        <v>921</v>
      </c>
      <c r="E28" s="186" t="str">
        <f>IF(COUNTIFS(Pilots[Host country],Analysis!D28,Pilots[Buying country],Analysis!Q142)+COUNTIFS(JCM[Host country],Analysis!D28,JCM[Buying country],Analysis!Q142)=0,"-",COUNTIFS(Pilots[Host country],Analysis!D28,Pilots[Buying country],Analysis!Q142)+COUNTIFS(JCM[Host country],Analysis!D28,JCM[Buying country],Analysis!Q142))</f>
        <v>-</v>
      </c>
    </row>
    <row r="29" spans="1:5" x14ac:dyDescent="0.3">
      <c r="A29" s="182"/>
      <c r="B29" s="1" t="s">
        <v>966</v>
      </c>
      <c r="C29" s="1" t="s">
        <v>967</v>
      </c>
      <c r="D29" s="1" t="s">
        <v>911</v>
      </c>
      <c r="E29" s="186" t="str">
        <f>IF(COUNTIFS(Pilots[Host country],Analysis!D29,Pilots[Buying country],Analysis!Q143)+COUNTIFS(JCM[Host country],Analysis!D29,JCM[Buying country],Analysis!Q143)=0,"-",COUNTIFS(Pilots[Host country],Analysis!D29,Pilots[Buying country],Analysis!Q143)+COUNTIFS(JCM[Host country],Analysis!D29,JCM[Buying country],Analysis!Q143))</f>
        <v>-</v>
      </c>
    </row>
    <row r="30" spans="1:5" x14ac:dyDescent="0.3">
      <c r="A30" s="182"/>
      <c r="B30" s="1" t="s">
        <v>963</v>
      </c>
      <c r="C30" s="1" t="s">
        <v>964</v>
      </c>
      <c r="D30" s="1" t="s">
        <v>813</v>
      </c>
      <c r="E30" s="186" t="str">
        <f>IF(COUNTIFS(Pilots[Host country],Analysis!D30,Pilots[Buying country],Analysis!Q144)+COUNTIFS(JCM[Host country],Analysis!D30,JCM[Buying country],Analysis!Q144)=0,"-",COUNTIFS(Pilots[Host country],Analysis!D30,Pilots[Buying country],Analysis!Q144)+COUNTIFS(JCM[Host country],Analysis!D30,JCM[Buying country],Analysis!Q144))</f>
        <v>-</v>
      </c>
    </row>
    <row r="31" spans="1:5" x14ac:dyDescent="0.3">
      <c r="A31" s="181"/>
      <c r="B31" s="189"/>
      <c r="C31" s="189" t="s">
        <v>971</v>
      </c>
      <c r="D31" s="189" t="s">
        <v>410</v>
      </c>
      <c r="E31" s="177">
        <f>IF(COUNTIFS(Pilots[Host country],Analysis!D31,Pilots[Buying country],Analysis!Q145)+COUNTIFS(JCM[Host country],Analysis!D31,JCM[Buying country],Analysis!Q145)=0,"-",COUNTIFS(Pilots[Host country],Analysis!D31,Pilots[Buying country],Analysis!Q145)+COUNTIFS(JCM[Host country],Analysis!D31,JCM[Buying country],Analysis!Q145))</f>
        <v>5</v>
      </c>
    </row>
    <row r="32" spans="1:5" x14ac:dyDescent="0.3">
      <c r="A32" s="182" t="s">
        <v>810</v>
      </c>
      <c r="B32" s="1" t="s">
        <v>954</v>
      </c>
      <c r="C32" s="1" t="s">
        <v>965</v>
      </c>
      <c r="D32" s="1" t="s">
        <v>565</v>
      </c>
      <c r="E32" s="186" t="str">
        <f>IF(COUNTIFS(Pilots[Host country],Analysis!D32,Pilots[Buying country],Analysis!Q146)+COUNTIFS(JCM[Host country],Analysis!D32,JCM[Buying country],Analysis!Q146)=0,"-",COUNTIFS(Pilots[Host country],Analysis!D32,Pilots[Buying country],Analysis!Q146)+COUNTIFS(JCM[Host country],Analysis!D32,JCM[Buying country],Analysis!Q146))</f>
        <v>-</v>
      </c>
    </row>
    <row r="33" spans="1:5" x14ac:dyDescent="0.3">
      <c r="A33" s="182"/>
      <c r="B33" s="1"/>
      <c r="C33" s="1" t="s">
        <v>956</v>
      </c>
      <c r="D33" s="1" t="s">
        <v>80</v>
      </c>
      <c r="E33" s="186" t="str">
        <f>IF(COUNTIFS(Pilots[Host country],Analysis!D33,Pilots[Buying country],Analysis!Q147)+COUNTIFS(JCM[Host country],Analysis!D33,JCM[Buying country],Analysis!Q147)=0,"-",COUNTIFS(Pilots[Host country],Analysis!D33,Pilots[Buying country],Analysis!Q147)+COUNTIFS(JCM[Host country],Analysis!D33,JCM[Buying country],Analysis!Q147))</f>
        <v>-</v>
      </c>
    </row>
    <row r="34" spans="1:5" x14ac:dyDescent="0.3">
      <c r="A34" s="182"/>
      <c r="B34" s="1"/>
      <c r="C34" s="1" t="s">
        <v>955</v>
      </c>
      <c r="D34" s="1" t="s">
        <v>55</v>
      </c>
      <c r="E34" s="186" t="str">
        <f>IF(COUNTIFS(Pilots[Host country],Analysis!D34,Pilots[Buying country],Analysis!Q148)+COUNTIFS(JCM[Host country],Analysis!D34,JCM[Buying country],Analysis!Q148)=0,"-",COUNTIFS(Pilots[Host country],Analysis!D34,Pilots[Buying country],Analysis!Q148)+COUNTIFS(JCM[Host country],Analysis!D34,JCM[Buying country],Analysis!Q148))</f>
        <v>-</v>
      </c>
    </row>
    <row r="35" spans="1:5" x14ac:dyDescent="0.3">
      <c r="A35" s="182"/>
      <c r="B35" s="1" t="s">
        <v>952</v>
      </c>
      <c r="C35" s="1" t="s">
        <v>961</v>
      </c>
      <c r="D35" s="1" t="s">
        <v>930</v>
      </c>
      <c r="E35" s="186" t="str">
        <f>IF(COUNTIFS(Pilots[Host country],Analysis!D35,Pilots[Buying country],Analysis!Q149)+COUNTIFS(JCM[Host country],Analysis!D35,JCM[Buying country],Analysis!Q149)=0,"-",COUNTIFS(Pilots[Host country],Analysis!D35,Pilots[Buying country],Analysis!Q149)+COUNTIFS(JCM[Host country],Analysis!D35,JCM[Buying country],Analysis!Q149))</f>
        <v>-</v>
      </c>
    </row>
    <row r="36" spans="1:5" x14ac:dyDescent="0.3">
      <c r="A36" s="182"/>
      <c r="B36" s="1"/>
      <c r="C36" s="1" t="s">
        <v>953</v>
      </c>
      <c r="D36" s="1" t="s">
        <v>820</v>
      </c>
      <c r="E36" s="186" t="str">
        <f>IF(COUNTIFS(Pilots[Host country],Analysis!D36,Pilots[Buying country],Analysis!Q150)+COUNTIFS(JCM[Host country],Analysis!D36,JCM[Buying country],Analysis!Q150)=0,"-",COUNTIFS(Pilots[Host country],Analysis!D36,Pilots[Buying country],Analysis!Q150)+COUNTIFS(JCM[Host country],Analysis!D36,JCM[Buying country],Analysis!Q150))</f>
        <v>-</v>
      </c>
    </row>
    <row r="37" spans="1:5" x14ac:dyDescent="0.3">
      <c r="A37" s="182"/>
      <c r="B37" s="1"/>
      <c r="C37" s="1"/>
      <c r="D37" s="1" t="s">
        <v>69</v>
      </c>
      <c r="E37" s="186" t="str">
        <f>IF(COUNTIFS(Pilots[Host country],Analysis!D37,Pilots[Buying country],Analysis!Q151)+COUNTIFS(JCM[Host country],Analysis!D37,JCM[Buying country],Analysis!Q151)=0,"-",COUNTIFS(Pilots[Host country],Analysis!D37,Pilots[Buying country],Analysis!Q151)+COUNTIFS(JCM[Host country],Analysis!D37,JCM[Buying country],Analysis!Q151))</f>
        <v>-</v>
      </c>
    </row>
    <row r="38" spans="1:5" x14ac:dyDescent="0.3">
      <c r="A38" s="182"/>
      <c r="B38" s="1" t="s">
        <v>835</v>
      </c>
      <c r="C38" s="1" t="s">
        <v>957</v>
      </c>
      <c r="D38" s="1" t="s">
        <v>466</v>
      </c>
      <c r="E38" s="186" t="str">
        <f>IF(COUNTIFS(Pilots[Host country],Analysis!D38,Pilots[Buying country],Analysis!Q152)+COUNTIFS(JCM[Host country],Analysis!D38,JCM[Buying country],Analysis!Q152)=0,"-",COUNTIFS(Pilots[Host country],Analysis!D38,Pilots[Buying country],Analysis!Q152)+COUNTIFS(JCM[Host country],Analysis!D38,JCM[Buying country],Analysis!Q152))</f>
        <v>-</v>
      </c>
    </row>
    <row r="39" spans="1:5" x14ac:dyDescent="0.3">
      <c r="A39" s="182"/>
      <c r="B39" s="1"/>
      <c r="C39" s="1" t="s">
        <v>1044</v>
      </c>
      <c r="D39" s="1" t="s">
        <v>532</v>
      </c>
      <c r="E39" s="186" t="str">
        <f>IF(COUNTIFS(Pilots[Host country],Analysis!D39,Pilots[Buying country],Analysis!Q153)+COUNTIFS(JCM[Host country],Analysis!D39,JCM[Buying country],Analysis!Q153)=0,"-",COUNTIFS(Pilots[Host country],Analysis!D39,Pilots[Buying country],Analysis!Q153)+COUNTIFS(JCM[Host country],Analysis!D39,JCM[Buying country],Analysis!Q153))</f>
        <v>-</v>
      </c>
    </row>
    <row r="40" spans="1:5" x14ac:dyDescent="0.3">
      <c r="A40" s="182"/>
      <c r="B40" s="1"/>
      <c r="C40" s="1"/>
      <c r="D40" s="1" t="s">
        <v>579</v>
      </c>
      <c r="E40" s="186" t="str">
        <f>IF(COUNTIFS(Pilots[Host country],Analysis!D40,Pilots[Buying country],Analysis!Q154)+COUNTIFS(JCM[Host country],Analysis!D40,JCM[Buying country],Analysis!Q154)=0,"-",COUNTIFS(Pilots[Host country],Analysis!D40,Pilots[Buying country],Analysis!Q154)+COUNTIFS(JCM[Host country],Analysis!D40,JCM[Buying country],Analysis!Q154))</f>
        <v>-</v>
      </c>
    </row>
    <row r="41" spans="1:5" x14ac:dyDescent="0.3">
      <c r="A41" s="182"/>
      <c r="B41" s="1"/>
      <c r="C41" s="1"/>
      <c r="D41" s="1" t="s">
        <v>20</v>
      </c>
      <c r="E41" s="186" t="str">
        <f>IF(COUNTIFS(Pilots[Host country],Analysis!D41,Pilots[Buying country],Analysis!Q155)+COUNTIFS(JCM[Host country],Analysis!D41,JCM[Buying country],Analysis!Q155)=0,"-",COUNTIFS(Pilots[Host country],Analysis!D41,Pilots[Buying country],Analysis!Q155)+COUNTIFS(JCM[Host country],Analysis!D41,JCM[Buying country],Analysis!Q155))</f>
        <v>-</v>
      </c>
    </row>
    <row r="42" spans="1:5" x14ac:dyDescent="0.3">
      <c r="A42" s="182"/>
      <c r="B42" s="1"/>
      <c r="C42" s="1"/>
      <c r="D42" s="1" t="s">
        <v>180</v>
      </c>
      <c r="E42" s="186" t="str">
        <f>IF(COUNTIFS(Pilots[Host country],Analysis!D42,Pilots[Buying country],Analysis!Q156)+COUNTIFS(JCM[Host country],Analysis!D42,JCM[Buying country],Analysis!Q156)=0,"-",COUNTIFS(Pilots[Host country],Analysis!D42,Pilots[Buying country],Analysis!Q156)+COUNTIFS(JCM[Host country],Analysis!D42,JCM[Buying country],Analysis!Q156))</f>
        <v>-</v>
      </c>
    </row>
    <row r="43" spans="1:5" x14ac:dyDescent="0.3">
      <c r="A43" s="182"/>
      <c r="B43" s="1"/>
      <c r="C43" s="1" t="s">
        <v>960</v>
      </c>
      <c r="D43" s="1" t="s">
        <v>937</v>
      </c>
      <c r="E43" s="186" t="str">
        <f>IF(COUNTIFS(Pilots[Host country],Analysis!D43,Pilots[Buying country],Analysis!Q157)+COUNTIFS(JCM[Host country],Analysis!D43,JCM[Buying country],Analysis!Q157)=0,"-",COUNTIFS(Pilots[Host country],Analysis!D43,Pilots[Buying country],Analysis!Q157)+COUNTIFS(JCM[Host country],Analysis!D43,JCM[Buying country],Analysis!Q157))</f>
        <v>-</v>
      </c>
    </row>
    <row r="44" spans="1:5" x14ac:dyDescent="0.3">
      <c r="A44" s="182"/>
      <c r="B44" s="1" t="s">
        <v>963</v>
      </c>
      <c r="C44" s="1" t="s">
        <v>964</v>
      </c>
      <c r="D44" s="1" t="s">
        <v>813</v>
      </c>
      <c r="E44" s="186" t="str">
        <f>IF(COUNTIFS(Pilots[Host country],Analysis!D44,Pilots[Buying country],Analysis!Q158)+COUNTIFS(JCM[Host country],Analysis!D44,JCM[Buying country],Analysis!Q158)=0,"-",COUNTIFS(Pilots[Host country],Analysis!D44,Pilots[Buying country],Analysis!Q158)+COUNTIFS(JCM[Host country],Analysis!D44,JCM[Buying country],Analysis!Q158))</f>
        <v>-</v>
      </c>
    </row>
    <row r="45" spans="1:5" x14ac:dyDescent="0.3">
      <c r="A45" s="179" t="s">
        <v>827</v>
      </c>
      <c r="B45" s="187" t="s">
        <v>954</v>
      </c>
      <c r="C45" s="187" t="s">
        <v>958</v>
      </c>
      <c r="D45" s="187" t="s">
        <v>832</v>
      </c>
      <c r="E45" s="188" t="str">
        <f>IF(COUNTIFS(Pilots[Host country],Analysis!D45,Pilots[Buying country],Analysis!Q159)+COUNTIFS(JCM[Host country],Analysis!D45,JCM[Buying country],Analysis!Q159)=0,"-",COUNTIFS(Pilots[Host country],Analysis!D45,Pilots[Buying country],Analysis!Q159)+COUNTIFS(JCM[Host country],Analysis!D45,JCM[Buying country],Analysis!Q159))</f>
        <v>-</v>
      </c>
    </row>
    <row r="46" spans="1:5" x14ac:dyDescent="0.3">
      <c r="A46" s="182"/>
      <c r="B46" s="1"/>
      <c r="C46" s="1" t="s">
        <v>955</v>
      </c>
      <c r="D46" s="1" t="s">
        <v>55</v>
      </c>
      <c r="E46" s="186" t="str">
        <f>IF(COUNTIFS(Pilots[Host country],Analysis!D46,Pilots[Buying country],Analysis!Q160)+COUNTIFS(JCM[Host country],Analysis!D46,JCM[Buying country],Analysis!Q160)=0,"-",COUNTIFS(Pilots[Host country],Analysis!D46,Pilots[Buying country],Analysis!Q160)+COUNTIFS(JCM[Host country],Analysis!D46,JCM[Buying country],Analysis!Q160))</f>
        <v>-</v>
      </c>
    </row>
    <row r="47" spans="1:5" x14ac:dyDescent="0.3">
      <c r="A47" s="182"/>
      <c r="B47" s="1" t="s">
        <v>835</v>
      </c>
      <c r="C47" s="1" t="s">
        <v>957</v>
      </c>
      <c r="D47" s="1" t="s">
        <v>466</v>
      </c>
      <c r="E47" s="186" t="str">
        <f>IF(COUNTIFS(Pilots[Host country],Analysis!D47,Pilots[Buying country],Analysis!Q161)+COUNTIFS(JCM[Host country],Analysis!D47,JCM[Buying country],Analysis!Q161)=0,"-",COUNTIFS(Pilots[Host country],Analysis!D47,Pilots[Buying country],Analysis!Q161)+COUNTIFS(JCM[Host country],Analysis!D47,JCM[Buying country],Analysis!Q161))</f>
        <v>-</v>
      </c>
    </row>
    <row r="48" spans="1:5" x14ac:dyDescent="0.3">
      <c r="A48" s="182"/>
      <c r="B48" s="1"/>
      <c r="C48" s="1" t="s">
        <v>1044</v>
      </c>
      <c r="D48" s="1" t="s">
        <v>959</v>
      </c>
      <c r="E48" s="186" t="str">
        <f>IF(COUNTIFS(Pilots[Host country],Analysis!D48,Pilots[Buying country],Analysis!Q162)+COUNTIFS(JCM[Host country],Analysis!D48,JCM[Buying country],Analysis!Q162)=0,"-",COUNTIFS(Pilots[Host country],Analysis!D48,Pilots[Buying country],Analysis!Q162)+COUNTIFS(JCM[Host country],Analysis!D48,JCM[Buying country],Analysis!Q162))</f>
        <v>-</v>
      </c>
    </row>
    <row r="49" spans="1:5" x14ac:dyDescent="0.3">
      <c r="A49" s="181"/>
      <c r="B49" s="189"/>
      <c r="C49" s="189"/>
      <c r="D49" s="189" t="s">
        <v>180</v>
      </c>
      <c r="E49" s="177" t="str">
        <f>IF(COUNTIFS(Pilots[Host country],Analysis!D49,Pilots[Buying country],Analysis!Q163)+COUNTIFS(JCM[Host country],Analysis!D49,JCM[Buying country],Analysis!Q163)=0,"-",COUNTIFS(Pilots[Host country],Analysis!D49,Pilots[Buying country],Analysis!Q163)+COUNTIFS(JCM[Host country],Analysis!D49,JCM[Buying country],Analysis!Q163))</f>
        <v>-</v>
      </c>
    </row>
    <row r="50" spans="1:5" x14ac:dyDescent="0.3">
      <c r="A50" s="182" t="s">
        <v>925</v>
      </c>
      <c r="B50" s="1" t="s">
        <v>954</v>
      </c>
      <c r="C50" s="1" t="s">
        <v>955</v>
      </c>
      <c r="D50" s="1" t="s">
        <v>55</v>
      </c>
      <c r="E50" s="186" t="str">
        <f>IF(COUNTIFS(Pilots[Host country],Analysis!D50,Pilots[Buying country],Analysis!#REF!)+COUNTIFS(JCM[Host country],Analysis!D50,JCM[Buying country],Analysis!#REF!)=0,"-",COUNTIFS(Pilots[Host country],Analysis!D50,Pilots[Buying country],Analysis!#REF!)+COUNTIFS(JCM[Host country],Analysis!D50,JCM[Buying country],Analysis!#REF!))</f>
        <v>-</v>
      </c>
    </row>
    <row r="51" spans="1:5" x14ac:dyDescent="0.3">
      <c r="A51" s="182"/>
      <c r="B51" s="1" t="s">
        <v>952</v>
      </c>
      <c r="C51" s="1" t="s">
        <v>961</v>
      </c>
      <c r="D51" s="1" t="s">
        <v>930</v>
      </c>
      <c r="E51" s="186" t="str">
        <f>IF(COUNTIFS(Pilots[Host country],Analysis!D51,Pilots[Buying country],Analysis!#REF!)+COUNTIFS(JCM[Host country],Analysis!D51,JCM[Buying country],Analysis!#REF!)=0,"-",COUNTIFS(Pilots[Host country],Analysis!D51,Pilots[Buying country],Analysis!#REF!)+COUNTIFS(JCM[Host country],Analysis!D51,JCM[Buying country],Analysis!#REF!))</f>
        <v>-</v>
      </c>
    </row>
    <row r="52" spans="1:5" x14ac:dyDescent="0.3">
      <c r="A52" s="182"/>
      <c r="B52" s="1" t="s">
        <v>835</v>
      </c>
      <c r="C52" s="1" t="s">
        <v>960</v>
      </c>
      <c r="D52" s="1" t="s">
        <v>924</v>
      </c>
      <c r="E52" s="186" t="str">
        <f>IF(COUNTIFS(Pilots[Host country],Analysis!D52,Pilots[Buying country],Analysis!Q164)+COUNTIFS(JCM[Host country],Analysis!D52,JCM[Buying country],Analysis!Q164)=0,"-",COUNTIFS(Pilots[Host country],Analysis!D52,Pilots[Buying country],Analysis!Q164)+COUNTIFS(JCM[Host country],Analysis!D52,JCM[Buying country],Analysis!Q164))</f>
        <v>-</v>
      </c>
    </row>
    <row r="53" spans="1:5" x14ac:dyDescent="0.3">
      <c r="A53" s="179" t="s">
        <v>27</v>
      </c>
      <c r="B53" s="187" t="s">
        <v>954</v>
      </c>
      <c r="C53" s="187" t="s">
        <v>965</v>
      </c>
      <c r="D53" s="187" t="s">
        <v>92</v>
      </c>
      <c r="E53" s="188">
        <f>IF(COUNTIFS(Pilots[Host country],Analysis!D53,Pilots[Buying country],Analysis!Q165)+COUNTIFS(JCM[Host country],Analysis!D53,JCM[Buying country],Analysis!Q165)=0,"-",COUNTIFS(Pilots[Host country],Analysis!D53,Pilots[Buying country],Analysis!Q165)+COUNTIFS(JCM[Host country],Analysis!D53,JCM[Buying country],Analysis!Q165))</f>
        <v>2</v>
      </c>
    </row>
    <row r="54" spans="1:5" x14ac:dyDescent="0.3">
      <c r="A54" s="182"/>
      <c r="B54" s="1"/>
      <c r="C54" s="1" t="s">
        <v>956</v>
      </c>
      <c r="D54" s="1" t="s">
        <v>80</v>
      </c>
      <c r="E54" s="186">
        <f>IF(COUNTIFS(Pilots[Host country],Analysis!D54,Pilots[Buying country],Analysis!Q166)+COUNTIFS(JCM[Host country],Analysis!D54,JCM[Buying country],Analysis!Q166)=0,"-",COUNTIFS(Pilots[Host country],Analysis!D54,Pilots[Buying country],Analysis!Q166)+COUNTIFS(JCM[Host country],Analysis!D54,JCM[Buying country],Analysis!Q166))</f>
        <v>2</v>
      </c>
    </row>
    <row r="55" spans="1:5" x14ac:dyDescent="0.3">
      <c r="A55" s="182"/>
      <c r="B55" s="1"/>
      <c r="C55" s="1" t="s">
        <v>955</v>
      </c>
      <c r="D55" s="1" t="s">
        <v>55</v>
      </c>
      <c r="E55" s="186">
        <f>IF(COUNTIFS(Pilots[Host country],Analysis!D55,Pilots[Buying country],Analysis!Q167)+COUNTIFS(JCM[Host country],Analysis!D55,JCM[Buying country],Analysis!Q167)=0,"-",COUNTIFS(Pilots[Host country],Analysis!D55,Pilots[Buying country],Analysis!Q167)+COUNTIFS(JCM[Host country],Analysis!D55,JCM[Buying country],Analysis!Q167))</f>
        <v>9</v>
      </c>
    </row>
    <row r="56" spans="1:5" x14ac:dyDescent="0.3">
      <c r="A56" s="182"/>
      <c r="B56" s="1"/>
      <c r="C56" s="1"/>
      <c r="D56" s="1" t="s">
        <v>33</v>
      </c>
      <c r="E56" s="186">
        <f>IF(COUNTIFS(Pilots[Host country],Analysis!D56,Pilots[Buying country],Analysis!Q168)+COUNTIFS(JCM[Host country],Analysis!D56,JCM[Buying country],Analysis!Q168)=0,"-",COUNTIFS(Pilots[Host country],Analysis!D56,Pilots[Buying country],Analysis!Q168)+COUNTIFS(JCM[Host country],Analysis!D56,JCM[Buying country],Analysis!Q168))</f>
        <v>3</v>
      </c>
    </row>
    <row r="57" spans="1:5" x14ac:dyDescent="0.3">
      <c r="A57" s="182"/>
      <c r="B57" s="1" t="s">
        <v>952</v>
      </c>
      <c r="C57" s="1" t="s">
        <v>961</v>
      </c>
      <c r="D57" s="1" t="s">
        <v>99</v>
      </c>
      <c r="E57" s="186">
        <f>IF(COUNTIFS(Pilots[Host country],Analysis!D57,Pilots[Buying country],Analysis!Q169)+COUNTIFS(JCM[Host country],Analysis!D57,JCM[Buying country],Analysis!Q169)=0,"-",COUNTIFS(Pilots[Host country],Analysis!D57,Pilots[Buying country],Analysis!Q169)+COUNTIFS(JCM[Host country],Analysis!D57,JCM[Buying country],Analysis!Q169))</f>
        <v>1</v>
      </c>
    </row>
    <row r="58" spans="1:5" x14ac:dyDescent="0.3">
      <c r="A58" s="182"/>
      <c r="B58" s="1"/>
      <c r="C58" s="1" t="s">
        <v>953</v>
      </c>
      <c r="D58" s="1" t="s">
        <v>756</v>
      </c>
      <c r="E58" s="186" t="str">
        <f>IF(COUNTIFS(Pilots[Host country],Analysis!D58,Pilots[Buying country],Analysis!Q170)+COUNTIFS(JCM[Host country],Analysis!D58,JCM[Buying country],Analysis!Q170)=0,"-",COUNTIFS(Pilots[Host country],Analysis!D58,Pilots[Buying country],Analysis!Q170)+COUNTIFS(JCM[Host country],Analysis!D58,JCM[Buying country],Analysis!Q170))</f>
        <v>-</v>
      </c>
    </row>
    <row r="59" spans="1:5" x14ac:dyDescent="0.3">
      <c r="A59" s="182"/>
      <c r="B59" s="1"/>
      <c r="C59" s="1"/>
      <c r="D59" s="1" t="s">
        <v>69</v>
      </c>
      <c r="E59" s="186">
        <f>IF(COUNTIFS(Pilots[Host country],Analysis!D59,Pilots[Buying country],Analysis!Q171)+COUNTIFS(JCM[Host country],Analysis!D59,JCM[Buying country],Analysis!Q171)=0,"-",COUNTIFS(Pilots[Host country],Analysis!D59,Pilots[Buying country],Analysis!Q171)+COUNTIFS(JCM[Host country],Analysis!D59,JCM[Buying country],Analysis!Q171))</f>
        <v>3</v>
      </c>
    </row>
    <row r="60" spans="1:5" x14ac:dyDescent="0.3">
      <c r="A60" s="182"/>
      <c r="B60" s="1"/>
      <c r="C60" s="1"/>
      <c r="D60" s="1" t="s">
        <v>859</v>
      </c>
      <c r="E60" s="186" t="str">
        <f>IF(COUNTIFS(Pilots[Host country],Analysis!D60,Pilots[Buying country],Analysis!Q172)+COUNTIFS(JCM[Host country],Analysis!D60,JCM[Buying country],Analysis!Q172)=0,"-",COUNTIFS(Pilots[Host country],Analysis!D60,Pilots[Buying country],Analysis!Q172)+COUNTIFS(JCM[Host country],Analysis!D60,JCM[Buying country],Analysis!Q172))</f>
        <v>-</v>
      </c>
    </row>
    <row r="61" spans="1:5" x14ac:dyDescent="0.3">
      <c r="A61" s="182"/>
      <c r="B61" s="1" t="s">
        <v>835</v>
      </c>
      <c r="C61" s="1" t="s">
        <v>1044</v>
      </c>
      <c r="D61" s="1" t="s">
        <v>20</v>
      </c>
      <c r="E61" s="186">
        <f>IF(COUNTIFS(Pilots[Host country],Analysis!D61,Pilots[Buying country],Analysis!Q173)+COUNTIFS(JCM[Host country],Analysis!D61,JCM[Buying country],Analysis!Q173)=0,"-",COUNTIFS(Pilots[Host country],Analysis!D61,Pilots[Buying country],Analysis!Q173)+COUNTIFS(JCM[Host country],Analysis!D61,JCM[Buying country],Analysis!Q173))</f>
        <v>1</v>
      </c>
    </row>
    <row r="62" spans="1:5" x14ac:dyDescent="0.3">
      <c r="A62" s="182"/>
      <c r="B62" s="1"/>
      <c r="C62" s="1" t="s">
        <v>962</v>
      </c>
      <c r="D62" s="1" t="s">
        <v>150</v>
      </c>
      <c r="E62" s="186">
        <f>IF(COUNTIFS(Pilots[Host country],Analysis!D62,Pilots[Buying country],Analysis!Q174)+COUNTIFS(JCM[Host country],Analysis!D62,JCM[Buying country],Analysis!Q174)=0,"-",COUNTIFS(Pilots[Host country],Analysis!D62,Pilots[Buying country],Analysis!Q174)+COUNTIFS(JCM[Host country],Analysis!D62,JCM[Buying country],Analysis!Q174))</f>
        <v>1</v>
      </c>
    </row>
    <row r="63" spans="1:5" x14ac:dyDescent="0.3">
      <c r="A63" s="182"/>
      <c r="B63" s="1" t="s">
        <v>966</v>
      </c>
      <c r="C63" s="1" t="s">
        <v>967</v>
      </c>
      <c r="D63" s="1" t="s">
        <v>852</v>
      </c>
      <c r="E63" s="186" t="str">
        <f>IF(COUNTIFS(Pilots[Host country],Analysis!D63,Pilots[Buying country],Analysis!Q175)+COUNTIFS(JCM[Host country],Analysis!D63,JCM[Buying country],Analysis!Q175)=0,"-",COUNTIFS(Pilots[Host country],Analysis!D63,Pilots[Buying country],Analysis!Q175)+COUNTIFS(JCM[Host country],Analysis!D63,JCM[Buying country],Analysis!Q175))</f>
        <v>-</v>
      </c>
    </row>
    <row r="64" spans="1:5" x14ac:dyDescent="0.3">
      <c r="A64" s="181"/>
      <c r="B64" s="1" t="s">
        <v>963</v>
      </c>
      <c r="C64" s="1" t="s">
        <v>964</v>
      </c>
      <c r="D64" s="1" t="s">
        <v>164</v>
      </c>
      <c r="E64" s="177">
        <f>IF(COUNTIFS(Pilots[Host country],Analysis!D64,Pilots[Buying country],Analysis!Q176)+COUNTIFS(JCM[Host country],Analysis!D64,JCM[Buying country],Analysis!Q176)=0,"-",COUNTIFS(Pilots[Host country],Analysis!D64,Pilots[Buying country],Analysis!Q176)+COUNTIFS(JCM[Host country],Analysis!D64,JCM[Buying country],Analysis!Q176))</f>
        <v>1</v>
      </c>
    </row>
    <row r="65" spans="1:5" x14ac:dyDescent="0.3">
      <c r="A65" s="191" t="s">
        <v>1751</v>
      </c>
      <c r="B65" s="192"/>
      <c r="C65" s="193"/>
      <c r="D65" s="180"/>
      <c r="E65" s="194">
        <f>SUM(E4:E64)</f>
        <v>136</v>
      </c>
    </row>
    <row r="68" spans="1:5" x14ac:dyDescent="0.3">
      <c r="A68" s="31" t="s">
        <v>1755</v>
      </c>
    </row>
    <row r="69" spans="1:5" x14ac:dyDescent="0.3">
      <c r="A69" s="35" t="s">
        <v>1217</v>
      </c>
      <c r="B69" s="34" t="s">
        <v>1218</v>
      </c>
      <c r="C69" s="37" t="s">
        <v>1219</v>
      </c>
    </row>
    <row r="70" spans="1:5" ht="16.5" customHeight="1" x14ac:dyDescent="0.3">
      <c r="A70" s="18" t="s">
        <v>373</v>
      </c>
      <c r="B70" s="24">
        <f>COUNTIF(Pilot_Projects!$G$5:$G$60,A70)+COUNTIF(JCM!$G$5:$G$150,A70)</f>
        <v>0</v>
      </c>
      <c r="C70" s="54">
        <f t="shared" ref="C70:C96" si="0">B70/B$97</f>
        <v>0</v>
      </c>
      <c r="E70" s="74"/>
    </row>
    <row r="71" spans="1:5" ht="16.5" customHeight="1" x14ac:dyDescent="0.3">
      <c r="A71" s="18" t="s">
        <v>1220</v>
      </c>
      <c r="B71" s="24">
        <f>COUNTIF(Pilot_Projects!$G$5:$G$60,A71)+COUNTIF(JCM!$G$5:$G$150,A71)</f>
        <v>0</v>
      </c>
      <c r="C71" s="54">
        <f t="shared" si="0"/>
        <v>0</v>
      </c>
    </row>
    <row r="72" spans="1:5" ht="16.5" customHeight="1" x14ac:dyDescent="0.3">
      <c r="A72" s="18" t="s">
        <v>1221</v>
      </c>
      <c r="B72" s="24">
        <f>COUNTIF(Pilot_Projects!$G$5:$G$60,A72)+COUNTIF(JCM!$G$5:$G$150,A72)</f>
        <v>0</v>
      </c>
      <c r="C72" s="54">
        <f t="shared" si="0"/>
        <v>0</v>
      </c>
    </row>
    <row r="73" spans="1:5" ht="16.5" customHeight="1" x14ac:dyDescent="0.3">
      <c r="A73" s="18" t="s">
        <v>1222</v>
      </c>
      <c r="B73" s="24">
        <f>COUNTIF(Pilot_Projects!$G$5:$G$60,A73)+COUNTIF(JCM!$G$5:$G$150,A73)</f>
        <v>0</v>
      </c>
      <c r="C73" s="54">
        <f t="shared" si="0"/>
        <v>0</v>
      </c>
    </row>
    <row r="74" spans="1:5" ht="16.5" customHeight="1" x14ac:dyDescent="0.3">
      <c r="A74" s="18" t="s">
        <v>1223</v>
      </c>
      <c r="B74" s="24">
        <f>COUNTIF(Pilot_Projects!$G$5:$G$60,A74)+COUNTIF(JCM!$G$5:$G$150,A74)</f>
        <v>0</v>
      </c>
      <c r="C74" s="54">
        <f>B74/B$97</f>
        <v>0</v>
      </c>
    </row>
    <row r="75" spans="1:5" ht="16.5" customHeight="1" x14ac:dyDescent="0.3">
      <c r="A75" s="18" t="s">
        <v>1224</v>
      </c>
      <c r="B75" s="24">
        <f>COUNTIF(Pilot_Projects!$G$5:$G$60,A75)+COUNTIF(JCM!$G$5:$G$150,A75)</f>
        <v>0</v>
      </c>
      <c r="C75" s="54">
        <f t="shared" si="0"/>
        <v>0</v>
      </c>
    </row>
    <row r="76" spans="1:5" ht="16.5" customHeight="1" x14ac:dyDescent="0.3">
      <c r="A76" s="18" t="s">
        <v>981</v>
      </c>
      <c r="B76" s="24">
        <f>COUNTIF(Pilot_Projects!$G$5:$G$60,A76)+COUNTIF(JCM!$G$5:$G$150,A76)</f>
        <v>0</v>
      </c>
      <c r="C76" s="54">
        <f t="shared" si="0"/>
        <v>0</v>
      </c>
    </row>
    <row r="77" spans="1:5" x14ac:dyDescent="0.3">
      <c r="A77" s="18" t="s">
        <v>1225</v>
      </c>
      <c r="B77" s="24">
        <f>COUNTIF(Pilot_Projects!$G$5:$G$60,A77)+COUNTIF(JCM!$G$5:$G$150,A77)</f>
        <v>0</v>
      </c>
      <c r="C77" s="54">
        <f t="shared" si="0"/>
        <v>0</v>
      </c>
    </row>
    <row r="78" spans="1:5" x14ac:dyDescent="0.3">
      <c r="A78" s="18" t="s">
        <v>1226</v>
      </c>
      <c r="B78" s="24">
        <f>COUNTIF(Pilot_Projects!$G$5:$G$60,A78)+COUNTIF(JCM!$G$5:$G$150,A78)</f>
        <v>0</v>
      </c>
      <c r="C78" s="54">
        <f t="shared" si="0"/>
        <v>0</v>
      </c>
    </row>
    <row r="79" spans="1:5" x14ac:dyDescent="0.3">
      <c r="A79" s="18" t="s">
        <v>1227</v>
      </c>
      <c r="B79" s="24">
        <f>COUNTIF(Pilot_Projects!$G$5:$G$60,A79)+COUNTIF(JCM!$G$5:$G$150,A79)</f>
        <v>0</v>
      </c>
      <c r="C79" s="54">
        <f t="shared" si="0"/>
        <v>0</v>
      </c>
    </row>
    <row r="80" spans="1:5" x14ac:dyDescent="0.3">
      <c r="A80" s="18" t="s">
        <v>1228</v>
      </c>
      <c r="B80" s="24">
        <f>COUNTIF(Pilot_Projects!$G$5:$G$60,A80)+COUNTIF(JCM!$G$5:$G$150,A80)</f>
        <v>0</v>
      </c>
      <c r="C80" s="54">
        <f t="shared" si="0"/>
        <v>0</v>
      </c>
    </row>
    <row r="81" spans="1:6" x14ac:dyDescent="0.3">
      <c r="A81" s="18" t="s">
        <v>1229</v>
      </c>
      <c r="B81" s="24">
        <f>COUNTIF(Pilot_Projects!$G$5:$G$60,A81)+COUNTIF(JCM!$G$5:$G$150,A81)</f>
        <v>0</v>
      </c>
      <c r="C81" s="54">
        <f t="shared" si="0"/>
        <v>0</v>
      </c>
    </row>
    <row r="82" spans="1:6" x14ac:dyDescent="0.3">
      <c r="A82" s="18" t="s">
        <v>1230</v>
      </c>
      <c r="B82" s="24">
        <f>COUNTIF(Pilot_Projects!$G$5:$G$60,A82)+COUNTIF(JCM!$G$5:$G$150,A82)</f>
        <v>0</v>
      </c>
      <c r="C82" s="54">
        <f t="shared" si="0"/>
        <v>0</v>
      </c>
    </row>
    <row r="83" spans="1:6" x14ac:dyDescent="0.3">
      <c r="A83" s="18" t="s">
        <v>534</v>
      </c>
      <c r="B83" s="24">
        <f>COUNTIF(Pilot_Projects!$G$5:$G$60,A83)+COUNTIF(JCM!$G$5:$G$150,A83)</f>
        <v>1</v>
      </c>
      <c r="C83" s="54">
        <f t="shared" si="0"/>
        <v>7.3529411764705881E-3</v>
      </c>
    </row>
    <row r="84" spans="1:6" x14ac:dyDescent="0.3">
      <c r="A84" s="18" t="s">
        <v>112</v>
      </c>
      <c r="B84" s="24">
        <f>COUNTIF(Pilot_Projects!$G$5:$G$60,A84)+COUNTIF(JCM!$G$5:$G$150,A84)</f>
        <v>1</v>
      </c>
      <c r="C84" s="54">
        <f t="shared" si="0"/>
        <v>7.3529411764705881E-3</v>
      </c>
    </row>
    <row r="85" spans="1:6" x14ac:dyDescent="0.3">
      <c r="A85" s="18" t="s">
        <v>104</v>
      </c>
      <c r="B85" s="24">
        <f>COUNTIF(Pilot_Projects!$G$5:$G$60,A85)+COUNTIF(JCM!$G$5:$G$150,A85)</f>
        <v>1</v>
      </c>
      <c r="C85" s="54">
        <f t="shared" si="0"/>
        <v>7.3529411764705881E-3</v>
      </c>
    </row>
    <row r="86" spans="1:6" x14ac:dyDescent="0.3">
      <c r="A86" s="18" t="s">
        <v>573</v>
      </c>
      <c r="B86" s="24">
        <f>COUNTIF(Pilot_Projects!$G$5:$G$60,A86)+COUNTIF(JCM!$G$5:$G$150,A86)</f>
        <v>2</v>
      </c>
      <c r="C86" s="54">
        <f t="shared" si="0"/>
        <v>1.4705882352941176E-2</v>
      </c>
    </row>
    <row r="87" spans="1:6" x14ac:dyDescent="0.3">
      <c r="A87" s="18" t="s">
        <v>1231</v>
      </c>
      <c r="B87" s="24">
        <f>COUNTIF(Pilot_Projects!$G$5:$G$60,A87)+COUNTIF(JCM!$G$5:$G$150,A87)</f>
        <v>3</v>
      </c>
      <c r="C87" s="54">
        <f t="shared" si="0"/>
        <v>2.2058823529411766E-2</v>
      </c>
    </row>
    <row r="88" spans="1:6" x14ac:dyDescent="0.3">
      <c r="A88" s="18" t="s">
        <v>338</v>
      </c>
      <c r="B88" s="24">
        <f>COUNTIF(Pilot_Projects!$G$5:$G$60,A88)+COUNTIF(JCM!$G$5:$G$150,A88)</f>
        <v>3</v>
      </c>
      <c r="C88" s="54">
        <f t="shared" si="0"/>
        <v>2.2058823529411766E-2</v>
      </c>
    </row>
    <row r="89" spans="1:6" x14ac:dyDescent="0.3">
      <c r="A89" s="18" t="s">
        <v>44</v>
      </c>
      <c r="B89" s="24">
        <f>COUNTIF(Pilot_Projects!$G$5:$G$60,A89)+COUNTIF(JCM!$G$5:$G$150,A89)</f>
        <v>3</v>
      </c>
      <c r="C89" s="54">
        <f t="shared" si="0"/>
        <v>2.2058823529411766E-2</v>
      </c>
    </row>
    <row r="90" spans="1:6" x14ac:dyDescent="0.3">
      <c r="A90" s="18" t="s">
        <v>34</v>
      </c>
      <c r="B90" s="24">
        <f>COUNTIF(Pilot_Projects!$G$5:$G$60,A90)+COUNTIF(JCM!$G$5:$G$150,A90)</f>
        <v>3</v>
      </c>
      <c r="C90" s="54">
        <f t="shared" si="0"/>
        <v>2.2058823529411766E-2</v>
      </c>
    </row>
    <row r="91" spans="1:6" x14ac:dyDescent="0.3">
      <c r="A91" s="18" t="s">
        <v>62</v>
      </c>
      <c r="B91" s="24">
        <f>COUNTIF(Pilot_Projects!$G$5:$G$60,A91)+COUNTIF(JCM!$G$5:$G$150,A91)</f>
        <v>4</v>
      </c>
      <c r="C91" s="54">
        <f t="shared" si="0"/>
        <v>2.9411764705882353E-2</v>
      </c>
    </row>
    <row r="92" spans="1:6" x14ac:dyDescent="0.3">
      <c r="A92" s="18" t="s">
        <v>22</v>
      </c>
      <c r="B92" s="24">
        <f>COUNTIF(Pilot_Projects!$G$5:$G$60,A92)+COUNTIF(JCM!$G$5:$G$150,A92)</f>
        <v>6</v>
      </c>
      <c r="C92" s="54">
        <f t="shared" si="0"/>
        <v>4.4117647058823532E-2</v>
      </c>
    </row>
    <row r="93" spans="1:6" x14ac:dyDescent="0.3">
      <c r="A93" s="18" t="s">
        <v>182</v>
      </c>
      <c r="B93" s="24">
        <f>COUNTIF(Pilot_Projects!$G$5:$G$60,A93)+COUNTIF(JCM!$G$5:$G$150,A93)</f>
        <v>7</v>
      </c>
      <c r="C93" s="54">
        <f t="shared" si="0"/>
        <v>5.1470588235294115E-2</v>
      </c>
    </row>
    <row r="94" spans="1:6" x14ac:dyDescent="0.3">
      <c r="A94" s="18" t="s">
        <v>251</v>
      </c>
      <c r="B94" s="24">
        <f>COUNTIF(Pilot_Projects!$G$5:$G$60,A94)+COUNTIF(JCM!$G$5:$G$150,A94)</f>
        <v>14</v>
      </c>
      <c r="C94" s="54">
        <f t="shared" si="0"/>
        <v>0.10294117647058823</v>
      </c>
    </row>
    <row r="95" spans="1:6" x14ac:dyDescent="0.3">
      <c r="A95" s="18" t="s">
        <v>56</v>
      </c>
      <c r="B95" s="24">
        <f>COUNTIF(Pilot_Projects!$G$5:$G$60,A95)+COUNTIF(JCM!$G$5:$G$150,A95)</f>
        <v>41</v>
      </c>
      <c r="C95" s="54">
        <f t="shared" si="0"/>
        <v>0.3014705882352941</v>
      </c>
      <c r="D95" s="4"/>
      <c r="F95" s="4"/>
    </row>
    <row r="96" spans="1:6" x14ac:dyDescent="0.3">
      <c r="A96" s="18" t="s">
        <v>197</v>
      </c>
      <c r="B96" s="24">
        <f>COUNTIF(Pilot_Projects!$G$5:$G$60,A96)+COUNTIF(JCM!$G$5:$G$150,A96)</f>
        <v>47</v>
      </c>
      <c r="C96" s="54">
        <f t="shared" si="0"/>
        <v>0.34558823529411764</v>
      </c>
      <c r="D96" s="56"/>
    </row>
    <row r="97" spans="1:6" x14ac:dyDescent="0.3">
      <c r="A97" s="25" t="s">
        <v>1111</v>
      </c>
      <c r="B97" s="20">
        <f>SUM(B70:B96)</f>
        <v>136</v>
      </c>
      <c r="C97" s="55"/>
    </row>
    <row r="98" spans="1:6" x14ac:dyDescent="0.3">
      <c r="B98" s="32"/>
    </row>
    <row r="100" spans="1:6" ht="29.5" customHeight="1" x14ac:dyDescent="0.3">
      <c r="A100" s="205" t="s">
        <v>1756</v>
      </c>
      <c r="B100" s="205"/>
    </row>
    <row r="101" spans="1:6" x14ac:dyDescent="0.3">
      <c r="A101" s="36" t="s">
        <v>1232</v>
      </c>
      <c r="B101" s="37"/>
    </row>
    <row r="102" spans="1:6" x14ac:dyDescent="0.3">
      <c r="A102" s="18" t="s">
        <v>187</v>
      </c>
      <c r="B102" s="28">
        <f>COUNTIF('Art. 6.2 Bilateral Agreements'!$E$3:$E$999,A102)</f>
        <v>26</v>
      </c>
    </row>
    <row r="103" spans="1:6" x14ac:dyDescent="0.3">
      <c r="A103" s="18" t="s">
        <v>27</v>
      </c>
      <c r="B103" s="28">
        <f>COUNTIF('Art. 6.2 Bilateral Agreements'!$E$3:$E$999,A103)</f>
        <v>12</v>
      </c>
    </row>
    <row r="104" spans="1:6" x14ac:dyDescent="0.3">
      <c r="A104" s="18" t="s">
        <v>810</v>
      </c>
      <c r="B104" s="28">
        <f>COUNTIF('Art. 6.2 Bilateral Agreements'!$E$3:$E$999,A104)</f>
        <v>13</v>
      </c>
    </row>
    <row r="105" spans="1:6" x14ac:dyDescent="0.3">
      <c r="A105" s="18" t="s">
        <v>827</v>
      </c>
      <c r="B105" s="28">
        <f>COUNTIF('Art. 6.2 Bilateral Agreements'!$E$3:$E$999,A105)</f>
        <v>5</v>
      </c>
    </row>
    <row r="106" spans="1:6" x14ac:dyDescent="0.3">
      <c r="A106" s="18" t="s">
        <v>925</v>
      </c>
      <c r="B106" s="28">
        <f>COUNTIF('Art. 6.2 Bilateral Agreements'!$E$3:$E$999,A106)</f>
        <v>3</v>
      </c>
    </row>
    <row r="107" spans="1:6" x14ac:dyDescent="0.3">
      <c r="A107" s="18" t="s">
        <v>945</v>
      </c>
      <c r="B107" s="28">
        <f>COUNTIF('Art. 6.2 Bilateral Agreements'!$E$3:$E$999,A107)</f>
        <v>2</v>
      </c>
    </row>
    <row r="108" spans="1:6" x14ac:dyDescent="0.3">
      <c r="A108" s="25" t="s">
        <v>1111</v>
      </c>
      <c r="B108" s="30">
        <f>SUM(B102:B107)</f>
        <v>61</v>
      </c>
    </row>
    <row r="110" spans="1:6" ht="36" customHeight="1" x14ac:dyDescent="0.3">
      <c r="F110" s="4"/>
    </row>
    <row r="112" spans="1:6" ht="42" x14ac:dyDescent="0.3">
      <c r="A112" s="171" t="s">
        <v>1757</v>
      </c>
      <c r="B112" s="171"/>
      <c r="E112" s="4"/>
    </row>
    <row r="113" spans="1:17" x14ac:dyDescent="0.3">
      <c r="A113" s="36" t="s">
        <v>1103</v>
      </c>
      <c r="B113" s="37"/>
    </row>
    <row r="114" spans="1:17" x14ac:dyDescent="0.3">
      <c r="A114" s="19" t="s">
        <v>954</v>
      </c>
      <c r="B114" s="33">
        <f>COUNTIF('Art. 6.2 Bilateral Agreements'!$C$3:$C$97,A114)</f>
        <v>14</v>
      </c>
    </row>
    <row r="115" spans="1:17" x14ac:dyDescent="0.3">
      <c r="A115" s="19" t="s">
        <v>952</v>
      </c>
      <c r="B115" s="33">
        <f>COUNTIF('Art. 6.2 Bilateral Agreements'!$C$3:$C$97,A115)</f>
        <v>11</v>
      </c>
    </row>
    <row r="116" spans="1:17" x14ac:dyDescent="0.3">
      <c r="A116" s="19" t="s">
        <v>835</v>
      </c>
      <c r="B116" s="33">
        <f>COUNTIF('Art. 6.2 Bilateral Agreements'!$C$3:$C$97,A116)</f>
        <v>28</v>
      </c>
    </row>
    <row r="117" spans="1:17" x14ac:dyDescent="0.3">
      <c r="A117" s="19" t="s">
        <v>966</v>
      </c>
      <c r="B117" s="33">
        <f>COUNTIF('Art. 6.2 Bilateral Agreements'!$C$3:$C$97,A117)</f>
        <v>2</v>
      </c>
    </row>
    <row r="118" spans="1:17" x14ac:dyDescent="0.3">
      <c r="A118" s="19" t="s">
        <v>963</v>
      </c>
      <c r="B118" s="33">
        <f>COUNTIF('Art. 6.2 Bilateral Agreements'!$C$3:$C$97,A118)</f>
        <v>6</v>
      </c>
      <c r="Q118" s="172" t="str">
        <f t="shared" ref="Q118:Q163" si="1">IF(A4&lt;&gt;"",A4,Q117)</f>
        <v>Australia</v>
      </c>
    </row>
    <row r="119" spans="1:17" x14ac:dyDescent="0.3">
      <c r="A119" s="19" t="s">
        <v>1111</v>
      </c>
      <c r="B119" s="33">
        <f>SUM(B114:B118)</f>
        <v>61</v>
      </c>
      <c r="Q119" s="172" t="str">
        <f t="shared" si="1"/>
        <v>Australia</v>
      </c>
    </row>
    <row r="120" spans="1:17" x14ac:dyDescent="0.3">
      <c r="Q120" s="172" t="str">
        <f t="shared" si="1"/>
        <v>Japan</v>
      </c>
    </row>
    <row r="121" spans="1:17" x14ac:dyDescent="0.3">
      <c r="Q121" s="172" t="str">
        <f t="shared" si="1"/>
        <v>Japan</v>
      </c>
    </row>
    <row r="122" spans="1:17" ht="28" x14ac:dyDescent="0.3">
      <c r="A122" s="171" t="s">
        <v>1758</v>
      </c>
      <c r="B122" s="171"/>
      <c r="Q122" s="172" t="str">
        <f t="shared" si="1"/>
        <v>Japan</v>
      </c>
    </row>
    <row r="123" spans="1:17" x14ac:dyDescent="0.3">
      <c r="A123" s="41" t="s">
        <v>1240</v>
      </c>
      <c r="B123" s="42"/>
      <c r="Q123" s="172" t="str">
        <f t="shared" si="1"/>
        <v>Japan</v>
      </c>
    </row>
    <row r="124" spans="1:17" x14ac:dyDescent="0.3">
      <c r="A124" s="26" t="s">
        <v>1241</v>
      </c>
      <c r="B124" s="38">
        <v>81</v>
      </c>
      <c r="Q124" s="172" t="str">
        <f t="shared" si="1"/>
        <v>Japan</v>
      </c>
    </row>
    <row r="125" spans="1:17" x14ac:dyDescent="0.3">
      <c r="A125" s="27" t="s">
        <v>1242</v>
      </c>
      <c r="B125" s="39">
        <v>0</v>
      </c>
      <c r="Q125" s="172" t="str">
        <f t="shared" si="1"/>
        <v>Japan</v>
      </c>
    </row>
    <row r="126" spans="1:17" x14ac:dyDescent="0.3">
      <c r="A126" s="27" t="s">
        <v>1243</v>
      </c>
      <c r="B126" s="39">
        <v>0</v>
      </c>
      <c r="Q126" s="172" t="str">
        <f t="shared" si="1"/>
        <v>Japan</v>
      </c>
    </row>
    <row r="127" spans="1:17" x14ac:dyDescent="0.3">
      <c r="A127" s="27" t="s">
        <v>1244</v>
      </c>
      <c r="B127" s="39">
        <v>27</v>
      </c>
      <c r="Q127" s="172" t="str">
        <f t="shared" si="1"/>
        <v>Japan</v>
      </c>
    </row>
    <row r="128" spans="1:17" x14ac:dyDescent="0.3">
      <c r="A128" s="27" t="s">
        <v>1245</v>
      </c>
      <c r="B128" s="39">
        <v>1</v>
      </c>
      <c r="Q128" s="172" t="str">
        <f t="shared" si="1"/>
        <v>Japan</v>
      </c>
    </row>
    <row r="129" spans="1:17" x14ac:dyDescent="0.3">
      <c r="A129" s="27" t="s">
        <v>1246</v>
      </c>
      <c r="B129" s="39">
        <v>0</v>
      </c>
      <c r="Q129" s="172" t="str">
        <f t="shared" si="1"/>
        <v>Japan</v>
      </c>
    </row>
    <row r="130" spans="1:17" x14ac:dyDescent="0.3">
      <c r="A130" s="27" t="s">
        <v>1247</v>
      </c>
      <c r="B130" s="39">
        <v>0</v>
      </c>
      <c r="Q130" s="172" t="str">
        <f t="shared" si="1"/>
        <v>Japan</v>
      </c>
    </row>
    <row r="131" spans="1:17" x14ac:dyDescent="0.3">
      <c r="A131" s="29" t="s">
        <v>1248</v>
      </c>
      <c r="B131" s="40">
        <v>4</v>
      </c>
      <c r="Q131" s="172" t="str">
        <f t="shared" si="1"/>
        <v>Japan</v>
      </c>
    </row>
    <row r="132" spans="1:17" x14ac:dyDescent="0.3">
      <c r="A132" s="25" t="s">
        <v>1111</v>
      </c>
      <c r="B132" s="30">
        <f>SUM(B124:B131)</f>
        <v>113</v>
      </c>
      <c r="Q132" s="172" t="str">
        <f t="shared" si="1"/>
        <v>Japan</v>
      </c>
    </row>
    <row r="133" spans="1:17" x14ac:dyDescent="0.3">
      <c r="Q133" s="172" t="str">
        <f t="shared" si="1"/>
        <v>Japan</v>
      </c>
    </row>
    <row r="134" spans="1:17" ht="28" x14ac:dyDescent="0.3">
      <c r="A134" s="171" t="s">
        <v>1759</v>
      </c>
      <c r="B134" s="171"/>
      <c r="Q134" s="172" t="str">
        <f t="shared" si="1"/>
        <v>Japan</v>
      </c>
    </row>
    <row r="135" spans="1:17" x14ac:dyDescent="0.3">
      <c r="A135" s="43" t="s">
        <v>1217</v>
      </c>
      <c r="B135" s="42"/>
      <c r="C135" s="42"/>
      <c r="Q135" s="172" t="str">
        <f t="shared" si="1"/>
        <v>Japan</v>
      </c>
    </row>
    <row r="136" spans="1:17" x14ac:dyDescent="0.3">
      <c r="A136" s="44" t="s">
        <v>62</v>
      </c>
      <c r="B136" s="20">
        <f>COUNTIF(JCM!$G$5:$G$117,A136)</f>
        <v>0</v>
      </c>
      <c r="C136" s="75">
        <f t="shared" ref="C136:C162" si="2">B136/$B$163</f>
        <v>0</v>
      </c>
      <c r="Q136" s="172" t="str">
        <f t="shared" si="1"/>
        <v>Japan</v>
      </c>
    </row>
    <row r="137" spans="1:17" x14ac:dyDescent="0.3">
      <c r="A137" s="44" t="s">
        <v>34</v>
      </c>
      <c r="B137" s="20">
        <f>COUNTIF(JCM!$G$5:$G$117,A137)</f>
        <v>0</v>
      </c>
      <c r="C137" s="75">
        <f t="shared" si="2"/>
        <v>0</v>
      </c>
      <c r="Q137" s="172" t="str">
        <f t="shared" si="1"/>
        <v>Japan</v>
      </c>
    </row>
    <row r="138" spans="1:17" x14ac:dyDescent="0.3">
      <c r="A138" s="44" t="s">
        <v>81</v>
      </c>
      <c r="B138" s="20">
        <f>COUNTIF(JCM!$G$5:$G$117,A138)</f>
        <v>0</v>
      </c>
      <c r="C138" s="75">
        <f t="shared" si="2"/>
        <v>0</v>
      </c>
      <c r="Q138" s="172" t="str">
        <f t="shared" si="1"/>
        <v>Japan</v>
      </c>
    </row>
    <row r="139" spans="1:17" x14ac:dyDescent="0.3">
      <c r="A139" s="44" t="s">
        <v>981</v>
      </c>
      <c r="B139" s="20">
        <f>COUNTIF(JCM!$G$5:$G$117,A139)</f>
        <v>0</v>
      </c>
      <c r="C139" s="75">
        <f t="shared" si="2"/>
        <v>0</v>
      </c>
      <c r="Q139" s="172" t="str">
        <f t="shared" si="1"/>
        <v>Japan</v>
      </c>
    </row>
    <row r="140" spans="1:17" x14ac:dyDescent="0.3">
      <c r="A140" s="44" t="s">
        <v>104</v>
      </c>
      <c r="B140" s="20">
        <f>COUNTIF(JCM!$G$5:$G$117,A140)</f>
        <v>0</v>
      </c>
      <c r="C140" s="75">
        <f t="shared" si="2"/>
        <v>0</v>
      </c>
      <c r="Q140" s="172" t="str">
        <f t="shared" si="1"/>
        <v>Japan</v>
      </c>
    </row>
    <row r="141" spans="1:17" x14ac:dyDescent="0.3">
      <c r="A141" s="44" t="s">
        <v>112</v>
      </c>
      <c r="B141" s="20">
        <f>COUNTIF(JCM!$G$5:$G$117,A141)</f>
        <v>0</v>
      </c>
      <c r="C141" s="75">
        <f t="shared" si="2"/>
        <v>0</v>
      </c>
      <c r="Q141" s="172" t="str">
        <f t="shared" si="1"/>
        <v>Japan</v>
      </c>
    </row>
    <row r="142" spans="1:17" x14ac:dyDescent="0.3">
      <c r="A142" s="44" t="s">
        <v>373</v>
      </c>
      <c r="B142" s="20">
        <f>COUNTIF(JCM!$G$5:$G$117,A142)</f>
        <v>0</v>
      </c>
      <c r="C142" s="75">
        <f t="shared" si="2"/>
        <v>0</v>
      </c>
      <c r="Q142" s="172" t="str">
        <f t="shared" si="1"/>
        <v>Japan</v>
      </c>
    </row>
    <row r="143" spans="1:17" x14ac:dyDescent="0.3">
      <c r="A143" s="44" t="s">
        <v>1220</v>
      </c>
      <c r="B143" s="20">
        <f>COUNTIF(JCM!$G$5:$G$117,A143)</f>
        <v>0</v>
      </c>
      <c r="C143" s="75">
        <f t="shared" si="2"/>
        <v>0</v>
      </c>
      <c r="Q143" s="172" t="str">
        <f t="shared" si="1"/>
        <v>Japan</v>
      </c>
    </row>
    <row r="144" spans="1:17" x14ac:dyDescent="0.3">
      <c r="A144" s="44" t="s">
        <v>1249</v>
      </c>
      <c r="B144" s="20">
        <f>COUNTIF(JCM!$G$5:$G$117,A144)</f>
        <v>0</v>
      </c>
      <c r="C144" s="75">
        <f t="shared" si="2"/>
        <v>0</v>
      </c>
      <c r="Q144" s="172" t="str">
        <f t="shared" si="1"/>
        <v>Japan</v>
      </c>
    </row>
    <row r="145" spans="1:17" x14ac:dyDescent="0.3">
      <c r="A145" s="44" t="s">
        <v>1222</v>
      </c>
      <c r="B145" s="20">
        <f>COUNTIF(JCM!$G$5:$G$117,A145)</f>
        <v>0</v>
      </c>
      <c r="C145" s="75">
        <f t="shared" si="2"/>
        <v>0</v>
      </c>
      <c r="Q145" s="172" t="str">
        <f t="shared" si="1"/>
        <v>Japan</v>
      </c>
    </row>
    <row r="146" spans="1:17" x14ac:dyDescent="0.3">
      <c r="A146" s="44" t="s">
        <v>1223</v>
      </c>
      <c r="B146" s="20">
        <f>COUNTIF(JCM!$G$5:$G$117,A146)</f>
        <v>0</v>
      </c>
      <c r="C146" s="75">
        <f t="shared" si="2"/>
        <v>0</v>
      </c>
      <c r="Q146" s="172" t="str">
        <f t="shared" si="1"/>
        <v>Singapore</v>
      </c>
    </row>
    <row r="147" spans="1:17" x14ac:dyDescent="0.3">
      <c r="A147" s="44" t="s">
        <v>1224</v>
      </c>
      <c r="B147" s="20">
        <f>COUNTIF(JCM!$G$5:$G$117,A147)</f>
        <v>0</v>
      </c>
      <c r="C147" s="75">
        <f t="shared" si="2"/>
        <v>0</v>
      </c>
      <c r="Q147" s="172" t="str">
        <f t="shared" si="1"/>
        <v>Singapore</v>
      </c>
    </row>
    <row r="148" spans="1:17" x14ac:dyDescent="0.3">
      <c r="A148" s="44" t="s">
        <v>1225</v>
      </c>
      <c r="B148" s="20">
        <f>COUNTIF(JCM!$G$5:$G$117,A148)</f>
        <v>0</v>
      </c>
      <c r="C148" s="75">
        <f t="shared" si="2"/>
        <v>0</v>
      </c>
      <c r="Q148" s="172" t="str">
        <f t="shared" si="1"/>
        <v>Singapore</v>
      </c>
    </row>
    <row r="149" spans="1:17" x14ac:dyDescent="0.3">
      <c r="A149" s="44" t="s">
        <v>1250</v>
      </c>
      <c r="B149" s="20">
        <f>COUNTIF(JCM!$G$5:$G$117,A149)</f>
        <v>0</v>
      </c>
      <c r="C149" s="75">
        <f t="shared" si="2"/>
        <v>0</v>
      </c>
      <c r="Q149" s="172" t="str">
        <f t="shared" si="1"/>
        <v>Singapore</v>
      </c>
    </row>
    <row r="150" spans="1:17" x14ac:dyDescent="0.3">
      <c r="A150" s="44" t="s">
        <v>1251</v>
      </c>
      <c r="B150" s="20">
        <f>COUNTIF(JCM!$G$5:$G$117,A150)</f>
        <v>0</v>
      </c>
      <c r="C150" s="75">
        <f t="shared" si="2"/>
        <v>0</v>
      </c>
      <c r="Q150" s="172" t="str">
        <f t="shared" si="1"/>
        <v>Singapore</v>
      </c>
    </row>
    <row r="151" spans="1:17" x14ac:dyDescent="0.3">
      <c r="A151" s="44" t="s">
        <v>1229</v>
      </c>
      <c r="B151" s="20">
        <f>COUNTIF(JCM!$G$5:$G$117,A151)</f>
        <v>0</v>
      </c>
      <c r="C151" s="75">
        <f t="shared" si="2"/>
        <v>0</v>
      </c>
      <c r="Q151" s="172" t="str">
        <f t="shared" si="1"/>
        <v>Singapore</v>
      </c>
    </row>
    <row r="152" spans="1:17" x14ac:dyDescent="0.3">
      <c r="A152" s="44" t="s">
        <v>1230</v>
      </c>
      <c r="B152" s="20">
        <f>COUNTIF(JCM!$G$5:$G$117,A152)</f>
        <v>0</v>
      </c>
      <c r="C152" s="75">
        <f t="shared" si="2"/>
        <v>0</v>
      </c>
      <c r="Q152" s="172" t="str">
        <f t="shared" si="1"/>
        <v>Singapore</v>
      </c>
    </row>
    <row r="153" spans="1:17" x14ac:dyDescent="0.3">
      <c r="A153" s="44" t="s">
        <v>1252</v>
      </c>
      <c r="B153" s="20">
        <f>COUNTIF(JCM!$G$5:$G$117,A153)</f>
        <v>0</v>
      </c>
      <c r="C153" s="75">
        <f t="shared" si="2"/>
        <v>0</v>
      </c>
      <c r="Q153" s="172" t="str">
        <f t="shared" si="1"/>
        <v>Singapore</v>
      </c>
    </row>
    <row r="154" spans="1:17" x14ac:dyDescent="0.3">
      <c r="A154" s="44" t="s">
        <v>44</v>
      </c>
      <c r="B154" s="20">
        <f>COUNTIF(JCM!$G$5:$G$117,A154)</f>
        <v>1</v>
      </c>
      <c r="C154" s="75">
        <f t="shared" si="2"/>
        <v>8.8495575221238937E-3</v>
      </c>
      <c r="Q154" s="172" t="str">
        <f t="shared" si="1"/>
        <v>Singapore</v>
      </c>
    </row>
    <row r="155" spans="1:17" x14ac:dyDescent="0.3">
      <c r="A155" s="44" t="s">
        <v>534</v>
      </c>
      <c r="B155" s="20">
        <f>COUNTIF(JCM!$G$5:$G$117,A155)</f>
        <v>1</v>
      </c>
      <c r="C155" s="75">
        <f t="shared" si="2"/>
        <v>8.8495575221238937E-3</v>
      </c>
      <c r="Q155" s="172" t="str">
        <f t="shared" si="1"/>
        <v>Singapore</v>
      </c>
    </row>
    <row r="156" spans="1:17" x14ac:dyDescent="0.3">
      <c r="A156" s="44" t="s">
        <v>22</v>
      </c>
      <c r="B156" s="20">
        <f>COUNTIF(JCM!$G$5:$G$117,A156)</f>
        <v>2</v>
      </c>
      <c r="C156" s="75">
        <f t="shared" si="2"/>
        <v>1.7699115044247787E-2</v>
      </c>
      <c r="Q156" s="172" t="str">
        <f t="shared" si="1"/>
        <v>Singapore</v>
      </c>
    </row>
    <row r="157" spans="1:17" x14ac:dyDescent="0.3">
      <c r="A157" s="44" t="s">
        <v>573</v>
      </c>
      <c r="B157" s="20">
        <f>COUNTIF(JCM!$G$5:$G$117,A157)</f>
        <v>2</v>
      </c>
      <c r="C157" s="75">
        <f t="shared" si="2"/>
        <v>1.7699115044247787E-2</v>
      </c>
      <c r="Q157" s="172" t="str">
        <f t="shared" si="1"/>
        <v>Singapore</v>
      </c>
    </row>
    <row r="158" spans="1:17" x14ac:dyDescent="0.3">
      <c r="A158" s="44" t="s">
        <v>338</v>
      </c>
      <c r="B158" s="20">
        <f>COUNTIF(JCM!$G$5:$G$117,A158)</f>
        <v>3</v>
      </c>
      <c r="C158" s="75">
        <f t="shared" si="2"/>
        <v>2.6548672566371681E-2</v>
      </c>
      <c r="Q158" s="172" t="str">
        <f t="shared" si="1"/>
        <v>Singapore</v>
      </c>
    </row>
    <row r="159" spans="1:17" x14ac:dyDescent="0.3">
      <c r="A159" s="44" t="s">
        <v>182</v>
      </c>
      <c r="B159" s="20">
        <f>COUNTIF(JCM!$G$5:$G$117,A159)</f>
        <v>7</v>
      </c>
      <c r="C159" s="75">
        <f t="shared" si="2"/>
        <v>6.1946902654867256E-2</v>
      </c>
      <c r="Q159" s="172" t="str">
        <f t="shared" si="1"/>
        <v>South Korea</v>
      </c>
    </row>
    <row r="160" spans="1:17" x14ac:dyDescent="0.3">
      <c r="A160" s="44" t="s">
        <v>251</v>
      </c>
      <c r="B160" s="20">
        <f>COUNTIF(JCM!$G$5:$G$117,A160)</f>
        <v>14</v>
      </c>
      <c r="C160" s="75">
        <f t="shared" si="2"/>
        <v>0.12389380530973451</v>
      </c>
      <c r="Q160" s="172" t="str">
        <f t="shared" si="1"/>
        <v>South Korea</v>
      </c>
    </row>
    <row r="161" spans="1:17" x14ac:dyDescent="0.3">
      <c r="A161" s="44" t="s">
        <v>56</v>
      </c>
      <c r="B161" s="20">
        <f>COUNTIF(JCM!$G$5:$G$117,A161)</f>
        <v>38</v>
      </c>
      <c r="C161" s="75">
        <f t="shared" si="2"/>
        <v>0.33628318584070799</v>
      </c>
      <c r="Q161" s="172" t="str">
        <f t="shared" si="1"/>
        <v>South Korea</v>
      </c>
    </row>
    <row r="162" spans="1:17" x14ac:dyDescent="0.3">
      <c r="A162" s="44" t="s">
        <v>70</v>
      </c>
      <c r="B162" s="20">
        <f>COUNTIF(JCM!$G$5:$G$117,A162)</f>
        <v>45</v>
      </c>
      <c r="C162" s="75">
        <f t="shared" si="2"/>
        <v>0.39823008849557523</v>
      </c>
      <c r="Q162" s="172" t="str">
        <f t="shared" si="1"/>
        <v>South Korea</v>
      </c>
    </row>
    <row r="163" spans="1:17" x14ac:dyDescent="0.3">
      <c r="A163" s="19" t="s">
        <v>1111</v>
      </c>
      <c r="B163" s="20">
        <f>SUM(B136:B162)</f>
        <v>113</v>
      </c>
      <c r="C163" s="19"/>
      <c r="Q163" s="172" t="str">
        <f t="shared" si="1"/>
        <v>South Korea</v>
      </c>
    </row>
    <row r="164" spans="1:17" x14ac:dyDescent="0.3">
      <c r="Q164" s="172" t="e">
        <f>IF(A52&lt;&gt;"",A52,#REF!)</f>
        <v>#REF!</v>
      </c>
    </row>
    <row r="165" spans="1:17" x14ac:dyDescent="0.3">
      <c r="Q165" s="172" t="str">
        <f t="shared" ref="Q165:Q176" si="3">IF(A53&lt;&gt;"",A53,Q164)</f>
        <v>Switzerland</v>
      </c>
    </row>
    <row r="166" spans="1:17" x14ac:dyDescent="0.3">
      <c r="A166" s="205" t="s">
        <v>1760</v>
      </c>
      <c r="B166" s="205"/>
      <c r="Q166" s="172" t="str">
        <f t="shared" si="3"/>
        <v>Switzerland</v>
      </c>
    </row>
    <row r="167" spans="1:17" x14ac:dyDescent="0.3">
      <c r="A167" s="36" t="s">
        <v>1103</v>
      </c>
      <c r="B167" s="37"/>
      <c r="C167" s="37" t="s">
        <v>1753</v>
      </c>
      <c r="Q167" s="172" t="str">
        <f t="shared" si="3"/>
        <v>Switzerland</v>
      </c>
    </row>
    <row r="168" spans="1:17" x14ac:dyDescent="0.3">
      <c r="A168" s="19" t="s">
        <v>954</v>
      </c>
      <c r="B168" s="20">
        <f>COUNTIF(Pilots[Region],Analysis!A168)+COUNTIF(JCM[Region],Analysis!A168)</f>
        <v>18</v>
      </c>
      <c r="C168" s="75">
        <f>B168/B$173</f>
        <v>0.13235294117647059</v>
      </c>
      <c r="Q168" s="172" t="str">
        <f t="shared" si="3"/>
        <v>Switzerland</v>
      </c>
    </row>
    <row r="169" spans="1:17" x14ac:dyDescent="0.3">
      <c r="A169" s="19" t="s">
        <v>952</v>
      </c>
      <c r="B169" s="20">
        <f>COUNTIF(Pilots[Region],Analysis!A169)+COUNTIF(JCM[Region],Analysis!A169)</f>
        <v>8</v>
      </c>
      <c r="C169" s="75">
        <f t="shared" ref="C169:C172" si="4">B169/B$173</f>
        <v>5.8823529411764705E-2</v>
      </c>
      <c r="Q169" s="172" t="str">
        <f t="shared" si="3"/>
        <v>Switzerland</v>
      </c>
    </row>
    <row r="170" spans="1:17" x14ac:dyDescent="0.3">
      <c r="A170" s="19" t="s">
        <v>835</v>
      </c>
      <c r="B170" s="20">
        <f>COUNTIF(Pilots[Region],Analysis!A170)+COUNTIF(JCM[Region],Analysis!A170)</f>
        <v>104</v>
      </c>
      <c r="C170" s="75">
        <f t="shared" si="4"/>
        <v>0.76470588235294112</v>
      </c>
      <c r="Q170" s="172" t="str">
        <f t="shared" si="3"/>
        <v>Switzerland</v>
      </c>
    </row>
    <row r="171" spans="1:17" x14ac:dyDescent="0.3">
      <c r="A171" s="19" t="s">
        <v>966</v>
      </c>
      <c r="B171" s="20">
        <f>COUNTIF(Pilots[Region],Analysis!A171)+COUNTIF(JCM[Region],Analysis!A171)</f>
        <v>0</v>
      </c>
      <c r="C171" s="75">
        <f t="shared" si="4"/>
        <v>0</v>
      </c>
      <c r="Q171" s="172" t="str">
        <f t="shared" si="3"/>
        <v>Switzerland</v>
      </c>
    </row>
    <row r="172" spans="1:17" x14ac:dyDescent="0.3">
      <c r="A172" s="19" t="s">
        <v>963</v>
      </c>
      <c r="B172" s="20">
        <f>COUNTIF(Pilots[Region],Analysis!A172)+COUNTIF(JCM[Region],Analysis!A172)</f>
        <v>6</v>
      </c>
      <c r="C172" s="75">
        <f t="shared" si="4"/>
        <v>4.4117647058823532E-2</v>
      </c>
      <c r="Q172" s="172" t="str">
        <f t="shared" si="3"/>
        <v>Switzerland</v>
      </c>
    </row>
    <row r="173" spans="1:17" x14ac:dyDescent="0.3">
      <c r="A173" s="19" t="s">
        <v>1111</v>
      </c>
      <c r="B173" s="33">
        <f>SUM(B168:B172)</f>
        <v>136</v>
      </c>
      <c r="C173" s="19"/>
      <c r="Q173" s="172" t="str">
        <f t="shared" si="3"/>
        <v>Switzerland</v>
      </c>
    </row>
    <row r="174" spans="1:17" x14ac:dyDescent="0.3">
      <c r="Q174" s="172" t="str">
        <f t="shared" si="3"/>
        <v>Switzerland</v>
      </c>
    </row>
    <row r="175" spans="1:17" x14ac:dyDescent="0.3">
      <c r="A175" s="205" t="s">
        <v>1761</v>
      </c>
      <c r="B175" s="205"/>
      <c r="C175" s="205"/>
      <c r="Q175" s="172" t="str">
        <f t="shared" si="3"/>
        <v>Switzerland</v>
      </c>
    </row>
    <row r="176" spans="1:17" x14ac:dyDescent="0.3">
      <c r="A176" s="204" t="s">
        <v>1253</v>
      </c>
      <c r="B176" s="19" t="s">
        <v>1254</v>
      </c>
      <c r="C176" s="20">
        <f>COUNTIF(Pilot_Projects!I5:I26,"&lt;10")</f>
        <v>0</v>
      </c>
      <c r="Q176" s="172" t="str">
        <f t="shared" si="3"/>
        <v>Switzerland</v>
      </c>
    </row>
    <row r="177" spans="1:19" x14ac:dyDescent="0.3">
      <c r="A177" s="204"/>
      <c r="B177" s="19" t="s">
        <v>1255</v>
      </c>
      <c r="C177" s="20">
        <f>COUNTIFS(Pilot_Projects!I5:I26,"&gt;10")-COUNTIFS(Pilot_Projects!I5:I26,"&gt;100")</f>
        <v>5</v>
      </c>
    </row>
    <row r="178" spans="1:19" x14ac:dyDescent="0.3">
      <c r="A178" s="204"/>
      <c r="B178" s="19" t="s">
        <v>1256</v>
      </c>
      <c r="C178" s="20">
        <f>COUNTIF(Pilot_Projects!I5:I26,"&gt;100")</f>
        <v>1</v>
      </c>
      <c r="R178"/>
      <c r="S178"/>
    </row>
    <row r="179" spans="1:19" x14ac:dyDescent="0.3">
      <c r="A179" s="204"/>
      <c r="B179" s="19" t="s">
        <v>1257</v>
      </c>
      <c r="C179" s="20">
        <f>COUNTIF(Pilot_Projects!I5:I26,"No data available")</f>
        <v>16</v>
      </c>
      <c r="R179"/>
      <c r="S179"/>
    </row>
    <row r="180" spans="1:19" x14ac:dyDescent="0.3">
      <c r="A180" s="204" t="s">
        <v>1258</v>
      </c>
      <c r="B180" s="19" t="s">
        <v>1254</v>
      </c>
      <c r="C180" s="20">
        <f>COUNTIF(JCM!I7:I122,"&lt;10")</f>
        <v>99</v>
      </c>
      <c r="R180"/>
      <c r="S180"/>
    </row>
    <row r="181" spans="1:19" x14ac:dyDescent="0.3">
      <c r="A181" s="204"/>
      <c r="B181" s="19" t="s">
        <v>1255</v>
      </c>
      <c r="C181" s="20">
        <f>COUNTIFS(JCM!I7:I122,"&gt;10")-COUNTIFS(JCM!I7:I122,"&gt;100")</f>
        <v>10</v>
      </c>
      <c r="R181"/>
      <c r="S181"/>
    </row>
    <row r="182" spans="1:19" x14ac:dyDescent="0.3">
      <c r="A182" s="204"/>
      <c r="B182" s="19" t="s">
        <v>1256</v>
      </c>
      <c r="C182" s="20">
        <f>COUNTIF(JCM!I5:I117,"&gt;100")</f>
        <v>2</v>
      </c>
      <c r="R182"/>
      <c r="S182"/>
    </row>
    <row r="183" spans="1:19" x14ac:dyDescent="0.3">
      <c r="A183" s="204"/>
      <c r="B183" s="19" t="s">
        <v>1257</v>
      </c>
      <c r="C183" s="20">
        <f>COUNTIF(JCM!I7:I122,"No data available")</f>
        <v>0</v>
      </c>
      <c r="R183"/>
      <c r="S183"/>
    </row>
    <row r="234" ht="33" customHeight="1" x14ac:dyDescent="0.3"/>
    <row r="244" ht="34.5" customHeight="1" x14ac:dyDescent="0.3"/>
    <row r="256" ht="30" customHeight="1" x14ac:dyDescent="0.3"/>
    <row r="288" spans="5:7" ht="29.25" customHeight="1" x14ac:dyDescent="0.3">
      <c r="E288" s="203"/>
      <c r="F288" s="203"/>
      <c r="G288" s="203"/>
    </row>
    <row r="290" spans="6:6" x14ac:dyDescent="0.3">
      <c r="F290" s="4"/>
    </row>
    <row r="291" spans="6:6" x14ac:dyDescent="0.3">
      <c r="F291" s="4"/>
    </row>
    <row r="292" spans="6:6" x14ac:dyDescent="0.3">
      <c r="F292" s="4"/>
    </row>
    <row r="293" spans="6:6" x14ac:dyDescent="0.3">
      <c r="F293" s="4"/>
    </row>
    <row r="294" spans="6:6" x14ac:dyDescent="0.3">
      <c r="F294" s="4"/>
    </row>
    <row r="295" spans="6:6" x14ac:dyDescent="0.3">
      <c r="F295" s="4"/>
    </row>
    <row r="296" spans="6:6" x14ac:dyDescent="0.3">
      <c r="F296" s="4"/>
    </row>
    <row r="297" spans="6:6" x14ac:dyDescent="0.3">
      <c r="F297" s="4"/>
    </row>
    <row r="298" spans="6:6" x14ac:dyDescent="0.3">
      <c r="F298" s="4"/>
    </row>
    <row r="299" spans="6:6" x14ac:dyDescent="0.3">
      <c r="F299" s="4"/>
    </row>
    <row r="300" spans="6:6" x14ac:dyDescent="0.3">
      <c r="F300" s="4"/>
    </row>
    <row r="301" spans="6:6" x14ac:dyDescent="0.3">
      <c r="F301" s="4"/>
    </row>
    <row r="302" spans="6:6" x14ac:dyDescent="0.3">
      <c r="F302" s="4"/>
    </row>
    <row r="303" spans="6:6" x14ac:dyDescent="0.3">
      <c r="F303" s="4"/>
    </row>
    <row r="304" spans="6:6" x14ac:dyDescent="0.3">
      <c r="F304" s="4"/>
    </row>
    <row r="305" spans="6:6" x14ac:dyDescent="0.3">
      <c r="F305" s="4"/>
    </row>
    <row r="306" spans="6:6" x14ac:dyDescent="0.3">
      <c r="F306" s="4"/>
    </row>
    <row r="307" spans="6:6" x14ac:dyDescent="0.3">
      <c r="F307" s="4"/>
    </row>
    <row r="308" spans="6:6" x14ac:dyDescent="0.3">
      <c r="F308" s="4"/>
    </row>
    <row r="309" spans="6:6" x14ac:dyDescent="0.3">
      <c r="F309" s="4"/>
    </row>
    <row r="310" spans="6:6" x14ac:dyDescent="0.3">
      <c r="F310" s="4"/>
    </row>
    <row r="311" spans="6:6" x14ac:dyDescent="0.3">
      <c r="F311" s="4"/>
    </row>
    <row r="312" spans="6:6" x14ac:dyDescent="0.3">
      <c r="F312" s="4"/>
    </row>
    <row r="313" spans="6:6" x14ac:dyDescent="0.3">
      <c r="F313" s="4"/>
    </row>
    <row r="314" spans="6:6" x14ac:dyDescent="0.3">
      <c r="F314" s="4"/>
    </row>
    <row r="315" spans="6:6" x14ac:dyDescent="0.3">
      <c r="F315" s="4"/>
    </row>
    <row r="316" spans="6:6" x14ac:dyDescent="0.3">
      <c r="F316" s="4"/>
    </row>
    <row r="317" spans="6:6" x14ac:dyDescent="0.3">
      <c r="F317" s="4"/>
    </row>
    <row r="318" spans="6:6" x14ac:dyDescent="0.3">
      <c r="F318" s="4"/>
    </row>
    <row r="319" spans="6:6" x14ac:dyDescent="0.3">
      <c r="F319" s="4"/>
    </row>
    <row r="320" spans="6:6" x14ac:dyDescent="0.3">
      <c r="F320" s="4"/>
    </row>
    <row r="321" spans="6:6" x14ac:dyDescent="0.3">
      <c r="F321" s="4"/>
    </row>
    <row r="322" spans="6:6" x14ac:dyDescent="0.3">
      <c r="F322" s="4"/>
    </row>
    <row r="323" spans="6:6" x14ac:dyDescent="0.3">
      <c r="F323" s="4"/>
    </row>
    <row r="324" spans="6:6" x14ac:dyDescent="0.3">
      <c r="F324" s="4"/>
    </row>
    <row r="325" spans="6:6" x14ac:dyDescent="0.3">
      <c r="F325" s="4"/>
    </row>
    <row r="326" spans="6:6" x14ac:dyDescent="0.3">
      <c r="F326" s="4"/>
    </row>
    <row r="327" spans="6:6" x14ac:dyDescent="0.3">
      <c r="F327" s="4"/>
    </row>
    <row r="328" spans="6:6" x14ac:dyDescent="0.3">
      <c r="F328" s="4"/>
    </row>
    <row r="329" spans="6:6" x14ac:dyDescent="0.3">
      <c r="F329" s="4"/>
    </row>
    <row r="330" spans="6:6" x14ac:dyDescent="0.3">
      <c r="F330" s="4"/>
    </row>
    <row r="331" spans="6:6" x14ac:dyDescent="0.3">
      <c r="F331" s="4"/>
    </row>
    <row r="332" spans="6:6" x14ac:dyDescent="0.3">
      <c r="F332" s="4"/>
    </row>
    <row r="333" spans="6:6" x14ac:dyDescent="0.3">
      <c r="F333" s="4"/>
    </row>
    <row r="334" spans="6:6" x14ac:dyDescent="0.3">
      <c r="F334" s="4"/>
    </row>
    <row r="335" spans="6:6" x14ac:dyDescent="0.3">
      <c r="F335" s="4"/>
    </row>
    <row r="336" spans="6:6" x14ac:dyDescent="0.3">
      <c r="F336" s="4"/>
    </row>
    <row r="337" spans="6:6" x14ac:dyDescent="0.3">
      <c r="F337" s="4"/>
    </row>
    <row r="338" spans="6:6" x14ac:dyDescent="0.3">
      <c r="F338" s="4"/>
    </row>
    <row r="339" spans="6:6" x14ac:dyDescent="0.3">
      <c r="F339" s="4"/>
    </row>
    <row r="340" spans="6:6" x14ac:dyDescent="0.3">
      <c r="F340" s="4"/>
    </row>
    <row r="341" spans="6:6" x14ac:dyDescent="0.3">
      <c r="F341" s="4"/>
    </row>
    <row r="342" spans="6:6" x14ac:dyDescent="0.3">
      <c r="F342" s="4"/>
    </row>
    <row r="343" spans="6:6" x14ac:dyDescent="0.3">
      <c r="F343" s="4"/>
    </row>
    <row r="344" spans="6:6" x14ac:dyDescent="0.3">
      <c r="F344" s="4"/>
    </row>
    <row r="345" spans="6:6" x14ac:dyDescent="0.3">
      <c r="F345" s="4"/>
    </row>
    <row r="346" spans="6:6" x14ac:dyDescent="0.3">
      <c r="F346" s="4"/>
    </row>
    <row r="347" spans="6:6" x14ac:dyDescent="0.3">
      <c r="F347" s="4"/>
    </row>
    <row r="348" spans="6:6" x14ac:dyDescent="0.3">
      <c r="F348" s="4"/>
    </row>
    <row r="349" spans="6:6" x14ac:dyDescent="0.3">
      <c r="F349" s="4"/>
    </row>
    <row r="350" spans="6:6" x14ac:dyDescent="0.3">
      <c r="F350" s="4"/>
    </row>
    <row r="351" spans="6:6" x14ac:dyDescent="0.3">
      <c r="F351" s="4"/>
    </row>
    <row r="352" spans="6:6" x14ac:dyDescent="0.3">
      <c r="F352" s="4"/>
    </row>
    <row r="353" spans="6:6" x14ac:dyDescent="0.3">
      <c r="F353" s="4"/>
    </row>
    <row r="354" spans="6:6" x14ac:dyDescent="0.3">
      <c r="F354" s="4"/>
    </row>
    <row r="355" spans="6:6" x14ac:dyDescent="0.3">
      <c r="F355" s="4"/>
    </row>
    <row r="356" spans="6:6" x14ac:dyDescent="0.3">
      <c r="F356" s="4"/>
    </row>
    <row r="357" spans="6:6" x14ac:dyDescent="0.3">
      <c r="F357" s="4"/>
    </row>
    <row r="358" spans="6:6" x14ac:dyDescent="0.3">
      <c r="F358" s="4"/>
    </row>
    <row r="359" spans="6:6" x14ac:dyDescent="0.3">
      <c r="F359" s="4"/>
    </row>
    <row r="360" spans="6:6" x14ac:dyDescent="0.3">
      <c r="F360" s="4"/>
    </row>
    <row r="361" spans="6:6" x14ac:dyDescent="0.3">
      <c r="F361" s="4"/>
    </row>
    <row r="362" spans="6:6" x14ac:dyDescent="0.3">
      <c r="F362" s="4"/>
    </row>
    <row r="363" spans="6:6" x14ac:dyDescent="0.3">
      <c r="F363" s="4"/>
    </row>
    <row r="364" spans="6:6" x14ac:dyDescent="0.3">
      <c r="F364" s="4"/>
    </row>
    <row r="365" spans="6:6" x14ac:dyDescent="0.3">
      <c r="F365" s="4"/>
    </row>
    <row r="366" spans="6:6" x14ac:dyDescent="0.3">
      <c r="F366" s="4"/>
    </row>
    <row r="367" spans="6:6" x14ac:dyDescent="0.3">
      <c r="F367" s="4"/>
    </row>
    <row r="368" spans="6:6" x14ac:dyDescent="0.3">
      <c r="F368" s="4"/>
    </row>
    <row r="369" spans="6:6" x14ac:dyDescent="0.3">
      <c r="F369" s="4"/>
    </row>
    <row r="370" spans="6:6" x14ac:dyDescent="0.3">
      <c r="F370" s="4"/>
    </row>
    <row r="371" spans="6:6" x14ac:dyDescent="0.3">
      <c r="F371" s="4"/>
    </row>
    <row r="372" spans="6:6" x14ac:dyDescent="0.3">
      <c r="F372" s="4"/>
    </row>
    <row r="373" spans="6:6" x14ac:dyDescent="0.3">
      <c r="F373" s="4"/>
    </row>
    <row r="374" spans="6:6" x14ac:dyDescent="0.3">
      <c r="F374" s="4"/>
    </row>
    <row r="375" spans="6:6" x14ac:dyDescent="0.3">
      <c r="F375" s="4"/>
    </row>
    <row r="376" spans="6:6" x14ac:dyDescent="0.3">
      <c r="F376" s="4"/>
    </row>
    <row r="377" spans="6:6" x14ac:dyDescent="0.3">
      <c r="F377" s="4"/>
    </row>
    <row r="378" spans="6:6" x14ac:dyDescent="0.3">
      <c r="F378" s="4"/>
    </row>
    <row r="379" spans="6:6" x14ac:dyDescent="0.3">
      <c r="F379" s="4"/>
    </row>
    <row r="380" spans="6:6" x14ac:dyDescent="0.3">
      <c r="F380" s="4"/>
    </row>
    <row r="381" spans="6:6" x14ac:dyDescent="0.3">
      <c r="F381" s="4"/>
    </row>
    <row r="382" spans="6:6" x14ac:dyDescent="0.3">
      <c r="F382" s="4"/>
    </row>
    <row r="383" spans="6:6" x14ac:dyDescent="0.3">
      <c r="F383" s="4"/>
    </row>
    <row r="384" spans="6:6" x14ac:dyDescent="0.3">
      <c r="F384" s="4"/>
    </row>
    <row r="385" spans="6:6" x14ac:dyDescent="0.3">
      <c r="F385" s="4"/>
    </row>
    <row r="386" spans="6:6" x14ac:dyDescent="0.3">
      <c r="F386" s="4"/>
    </row>
    <row r="387" spans="6:6" x14ac:dyDescent="0.3">
      <c r="F387" s="4"/>
    </row>
    <row r="388" spans="6:6" x14ac:dyDescent="0.3">
      <c r="F388" s="4"/>
    </row>
    <row r="389" spans="6:6" x14ac:dyDescent="0.3">
      <c r="F389" s="4"/>
    </row>
    <row r="390" spans="6:6" x14ac:dyDescent="0.3">
      <c r="F390" s="4"/>
    </row>
    <row r="391" spans="6:6" x14ac:dyDescent="0.3">
      <c r="F391" s="4"/>
    </row>
    <row r="392" spans="6:6" x14ac:dyDescent="0.3">
      <c r="F392" s="4"/>
    </row>
    <row r="393" spans="6:6" x14ac:dyDescent="0.3">
      <c r="F393" s="4"/>
    </row>
    <row r="394" spans="6:6" x14ac:dyDescent="0.3">
      <c r="F394" s="4"/>
    </row>
    <row r="395" spans="6:6" x14ac:dyDescent="0.3">
      <c r="F395" s="4"/>
    </row>
    <row r="396" spans="6:6" x14ac:dyDescent="0.3">
      <c r="F396" s="4"/>
    </row>
    <row r="397" spans="6:6" x14ac:dyDescent="0.3">
      <c r="F397" s="4"/>
    </row>
    <row r="398" spans="6:6" x14ac:dyDescent="0.3">
      <c r="F398" s="4"/>
    </row>
    <row r="399" spans="6:6" x14ac:dyDescent="0.3">
      <c r="F399" s="4"/>
    </row>
    <row r="400" spans="6:6" x14ac:dyDescent="0.3">
      <c r="F400" s="4"/>
    </row>
    <row r="401" spans="6:6" x14ac:dyDescent="0.3">
      <c r="F401" s="4"/>
    </row>
    <row r="402" spans="6:6" x14ac:dyDescent="0.3">
      <c r="F402" s="4"/>
    </row>
    <row r="403" spans="6:6" x14ac:dyDescent="0.3">
      <c r="F403" s="4"/>
    </row>
    <row r="404" spans="6:6" x14ac:dyDescent="0.3">
      <c r="F404" s="4"/>
    </row>
    <row r="405" spans="6:6" x14ac:dyDescent="0.3">
      <c r="F405" s="4"/>
    </row>
    <row r="406" spans="6:6" x14ac:dyDescent="0.3">
      <c r="F406" s="4"/>
    </row>
    <row r="407" spans="6:6" x14ac:dyDescent="0.3">
      <c r="F407" s="4"/>
    </row>
    <row r="408" spans="6:6" x14ac:dyDescent="0.3">
      <c r="F408" s="4"/>
    </row>
    <row r="409" spans="6:6" x14ac:dyDescent="0.3">
      <c r="F409" s="4"/>
    </row>
    <row r="410" spans="6:6" x14ac:dyDescent="0.3">
      <c r="F410" s="4"/>
    </row>
    <row r="411" spans="6:6" x14ac:dyDescent="0.3">
      <c r="F411" s="4"/>
    </row>
    <row r="412" spans="6:6" x14ac:dyDescent="0.3">
      <c r="F412" s="4"/>
    </row>
    <row r="413" spans="6:6" x14ac:dyDescent="0.3">
      <c r="F413" s="4"/>
    </row>
    <row r="414" spans="6:6" x14ac:dyDescent="0.3">
      <c r="F414" s="4"/>
    </row>
    <row r="415" spans="6:6" x14ac:dyDescent="0.3">
      <c r="F415" s="4"/>
    </row>
    <row r="419" ht="37.5" customHeight="1" x14ac:dyDescent="0.3"/>
    <row r="428" ht="42" customHeight="1" x14ac:dyDescent="0.3"/>
  </sheetData>
  <autoFilter ref="A69:B97" xr:uid="{27FC1A43-9525-4931-B5D7-829E7C4B9F3B}">
    <sortState xmlns:xlrd2="http://schemas.microsoft.com/office/spreadsheetml/2017/richdata2" ref="A70:B97">
      <sortCondition ref="B69:B97"/>
    </sortState>
  </autoFilter>
  <sortState xmlns:xlrd2="http://schemas.microsoft.com/office/spreadsheetml/2017/richdata2" ref="A70:C96">
    <sortCondition ref="B70:B96"/>
  </sortState>
  <mergeCells count="7">
    <mergeCell ref="B2:D2"/>
    <mergeCell ref="E288:G288"/>
    <mergeCell ref="A176:A179"/>
    <mergeCell ref="A180:A183"/>
    <mergeCell ref="A175:C175"/>
    <mergeCell ref="A100:B100"/>
    <mergeCell ref="A166:B166"/>
  </mergeCell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Pilot_Projects</vt:lpstr>
      <vt:lpstr>JCM</vt:lpstr>
      <vt:lpstr>Art. 6.2 Bilateral Agreements</vt:lpstr>
      <vt:lpstr>Virtual pilots</vt:lpstr>
      <vt:lpstr>Country-Region_Mapping</vt:lpstr>
      <vt:lpstr>DNAs</vt:lpstr>
      <vt:lpstr>Capacity building activities</vt:lpstr>
      <vt:lpstr>Analysis</vt:lpstr>
      <vt:lpstr>Countries</vt:lpstr>
      <vt:lpstr>'Capacity building activities'!Host</vt:lpstr>
      <vt:lpstr>Pilot_Projects!Host</vt:lpstr>
      <vt:lpstr>ID</vt:lpstr>
      <vt:lpstr>'Capacity building activities'!Status</vt:lpstr>
      <vt:lpstr>Pilot_Projects!Status</vt:lpstr>
      <vt:lpstr>Pilot_Projects!Subtype</vt:lpstr>
      <vt:lpstr>Pilot_Projects!Type</vt:lpstr>
    </vt:vector>
  </TitlesOfParts>
  <Manager/>
  <Company>Risø National Laboratory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Staun, Frederik</dc:creator>
  <cp:keywords/>
  <dc:description/>
  <cp:lastModifiedBy>Aiymgul Kerimray</cp:lastModifiedBy>
  <cp:revision/>
  <dcterms:created xsi:type="dcterms:W3CDTF">2003-05-08T09:17:33Z</dcterms:created>
  <dcterms:modified xsi:type="dcterms:W3CDTF">2023-09-02T13:32:02Z</dcterms:modified>
  <cp:category/>
  <cp:contentStatus/>
</cp:coreProperties>
</file>